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8925" yWindow="-75" windowWidth="10080" windowHeight="8700" tabRatio="911" firstSheet="2" activeTab="5"/>
  </bookViews>
  <sheets>
    <sheet name="PRE" sheetId="9" state="hidden" r:id="rId1"/>
    <sheet name="format" sheetId="1" state="hidden" r:id="rId2"/>
    <sheet name="Centro de datos" sheetId="12" r:id="rId3"/>
    <sheet name="Día 1" sheetId="41" r:id="rId4"/>
    <sheet name="Día-02" sheetId="40" r:id="rId5"/>
    <sheet name="Día-03" sheetId="39" r:id="rId6"/>
    <sheet name="Dom-17" sheetId="37" state="hidden" r:id="rId7"/>
  </sheets>
  <definedNames>
    <definedName name="_xlnm._FilterDatabase" localSheetId="2" hidden="1">'Centro de datos'!$B$1:$B$456</definedName>
    <definedName name="_xlnm._FilterDatabase" localSheetId="3" hidden="1">'Día 1'!$B$1:$B$342</definedName>
    <definedName name="_xlnm._FilterDatabase" localSheetId="4" hidden="1">'Día-02'!$B$1:$B$342</definedName>
    <definedName name="_xlnm._FilterDatabase" localSheetId="5" hidden="1">'Día-03'!$B$1:$B$342</definedName>
    <definedName name="_xlnm._FilterDatabase" localSheetId="6" hidden="1">'Dom-17'!$B$1:$B$342</definedName>
    <definedName name="_xlnm.Print_Area" localSheetId="3">'Día 1'!$B$236:$H$337</definedName>
    <definedName name="_xlnm.Print_Area" localSheetId="4">'Día-02'!$B$236:$H$337</definedName>
    <definedName name="_xlnm.Print_Area" localSheetId="5">'Día-03'!$B$236:$H$337</definedName>
    <definedName name="_xlnm.Print_Area" localSheetId="6">'Dom-17'!$B$236:$H$337</definedName>
    <definedName name="_xlnm.Print_Area" localSheetId="1">format!$A$1:$H$350</definedName>
    <definedName name="ARTICULO">'Centro de datos'!$E$3:$E$456</definedName>
    <definedName name="INVENTARIO">'Centro de datos'!$E$3:$F$456</definedName>
  </definedNames>
  <calcPr calcId="144525"/>
</workbook>
</file>

<file path=xl/calcChain.xml><?xml version="1.0" encoding="utf-8"?>
<calcChain xmlns="http://schemas.openxmlformats.org/spreadsheetml/2006/main">
  <c r="E9" i="40" l="1"/>
  <c r="G9" i="40"/>
  <c r="E10" i="40"/>
  <c r="G10" i="40"/>
  <c r="E11" i="40"/>
  <c r="G11" i="40"/>
  <c r="E12" i="40"/>
  <c r="G12" i="40"/>
  <c r="E13" i="40"/>
  <c r="G13" i="40"/>
  <c r="E14" i="40"/>
  <c r="G14" i="40"/>
  <c r="E15" i="40"/>
  <c r="G15" i="40"/>
  <c r="E16" i="40"/>
  <c r="G16" i="40"/>
  <c r="E17" i="40"/>
  <c r="G17" i="40"/>
  <c r="E18" i="40"/>
  <c r="G18" i="40"/>
  <c r="E19" i="40"/>
  <c r="G19" i="40"/>
  <c r="E20" i="40"/>
  <c r="G20" i="40"/>
  <c r="E21" i="40"/>
  <c r="G21" i="40"/>
  <c r="E22" i="40"/>
  <c r="G22" i="40"/>
  <c r="E23" i="40"/>
  <c r="G23" i="40"/>
  <c r="E24" i="40"/>
  <c r="G24" i="40"/>
  <c r="E25" i="40"/>
  <c r="G25" i="40"/>
  <c r="E26" i="40"/>
  <c r="G26" i="40"/>
  <c r="E27" i="40"/>
  <c r="G27" i="40"/>
  <c r="E28" i="40"/>
  <c r="G28" i="40"/>
  <c r="E29" i="40"/>
  <c r="G29" i="40"/>
  <c r="E30" i="40"/>
  <c r="G30" i="40"/>
  <c r="E31" i="40"/>
  <c r="G31" i="40"/>
  <c r="E32" i="40"/>
  <c r="G32" i="40"/>
  <c r="E33" i="40"/>
  <c r="G33" i="40"/>
  <c r="E34" i="40"/>
  <c r="G34" i="40"/>
  <c r="E35" i="40"/>
  <c r="G35" i="40"/>
  <c r="E36" i="40"/>
  <c r="G36" i="40"/>
  <c r="E37" i="40"/>
  <c r="G37" i="40"/>
  <c r="E38" i="40"/>
  <c r="G38" i="40"/>
  <c r="E39" i="40"/>
  <c r="G39" i="40"/>
  <c r="E40" i="40"/>
  <c r="G40" i="40"/>
  <c r="E41" i="40"/>
  <c r="G41" i="40"/>
  <c r="E42" i="40"/>
  <c r="G42" i="40"/>
  <c r="E43" i="40"/>
  <c r="G43" i="40"/>
  <c r="E44" i="40"/>
  <c r="G44" i="40"/>
  <c r="E45" i="40"/>
  <c r="G45" i="40"/>
  <c r="E46" i="40"/>
  <c r="G46" i="40"/>
  <c r="E47" i="40"/>
  <c r="G47" i="40"/>
  <c r="E48" i="40"/>
  <c r="E49" i="40"/>
  <c r="E50" i="40"/>
  <c r="E52" i="40"/>
  <c r="E65" i="40"/>
  <c r="G65" i="40"/>
  <c r="E66" i="40"/>
  <c r="G66" i="40"/>
  <c r="E67" i="40"/>
  <c r="G67" i="40"/>
  <c r="E68" i="40"/>
  <c r="G68" i="40"/>
  <c r="E69" i="40"/>
  <c r="G69" i="40"/>
  <c r="E70" i="40"/>
  <c r="G70" i="40"/>
  <c r="E71" i="40"/>
  <c r="G71" i="40"/>
  <c r="E72" i="40"/>
  <c r="G72" i="40"/>
  <c r="E73" i="40"/>
  <c r="G73" i="40"/>
  <c r="E74" i="40"/>
  <c r="G74" i="40"/>
  <c r="E75" i="40"/>
  <c r="G75" i="40"/>
  <c r="E76" i="40"/>
  <c r="G76" i="40"/>
  <c r="E77" i="40"/>
  <c r="G77" i="40"/>
  <c r="E78" i="40"/>
  <c r="G78" i="40"/>
  <c r="E79" i="40"/>
  <c r="G79" i="40"/>
  <c r="E80" i="40"/>
  <c r="G80" i="40"/>
  <c r="E81" i="40"/>
  <c r="G81" i="40"/>
  <c r="E82" i="40"/>
  <c r="G82" i="40"/>
  <c r="E83" i="40"/>
  <c r="G83" i="40"/>
  <c r="E84" i="40"/>
  <c r="G84" i="40"/>
  <c r="E85" i="40"/>
  <c r="G85" i="40"/>
  <c r="E86" i="40"/>
  <c r="G86" i="40"/>
  <c r="E87" i="40"/>
  <c r="G87" i="40"/>
  <c r="E88" i="40"/>
  <c r="G88" i="40"/>
  <c r="E89" i="40"/>
  <c r="G89" i="40"/>
  <c r="E90" i="40"/>
  <c r="G90" i="40"/>
  <c r="E91" i="40"/>
  <c r="G91" i="40"/>
  <c r="E92" i="40"/>
  <c r="G92" i="40"/>
  <c r="E93" i="40"/>
  <c r="G93" i="40"/>
  <c r="E94" i="40"/>
  <c r="G94" i="40"/>
  <c r="E95" i="40"/>
  <c r="G95" i="40"/>
  <c r="E96" i="40"/>
  <c r="G96" i="40"/>
  <c r="E97" i="40"/>
  <c r="G97" i="40"/>
  <c r="E98" i="40"/>
  <c r="G98" i="40"/>
  <c r="E99" i="40"/>
  <c r="G99" i="40"/>
  <c r="E100" i="40"/>
  <c r="G100" i="40"/>
  <c r="E101" i="40"/>
  <c r="G101" i="40"/>
  <c r="E102" i="40"/>
  <c r="G102" i="40"/>
  <c r="E103" i="40"/>
  <c r="G103" i="40"/>
  <c r="E104" i="40"/>
  <c r="G104" i="40"/>
  <c r="E105" i="40"/>
  <c r="G105" i="40"/>
  <c r="E106" i="40"/>
  <c r="E107" i="40"/>
  <c r="E108" i="40"/>
  <c r="E110" i="40"/>
  <c r="E124" i="40"/>
  <c r="G124" i="40"/>
  <c r="E125" i="40"/>
  <c r="G125" i="40"/>
  <c r="E126" i="40"/>
  <c r="G126" i="40"/>
  <c r="E127" i="40"/>
  <c r="G127" i="40"/>
  <c r="E128" i="40"/>
  <c r="G128" i="40"/>
  <c r="E129" i="40"/>
  <c r="G129" i="40"/>
  <c r="E130" i="40"/>
  <c r="G130" i="40"/>
  <c r="E131" i="40"/>
  <c r="G131" i="40"/>
  <c r="E132" i="40"/>
  <c r="G132" i="40"/>
  <c r="E133" i="40"/>
  <c r="G133" i="40"/>
  <c r="E134" i="40"/>
  <c r="G134" i="40"/>
  <c r="E135" i="40"/>
  <c r="G135" i="40"/>
  <c r="E136" i="40"/>
  <c r="G136" i="40"/>
  <c r="E137" i="40"/>
  <c r="G137" i="40"/>
  <c r="G138" i="40"/>
  <c r="G139" i="40"/>
  <c r="G140" i="40"/>
  <c r="G141" i="40"/>
  <c r="G142" i="40"/>
  <c r="G143" i="40"/>
  <c r="G144" i="40"/>
  <c r="G145" i="40"/>
  <c r="G146" i="40"/>
  <c r="G147" i="40"/>
  <c r="G148" i="40"/>
  <c r="G149" i="40"/>
  <c r="G150" i="40"/>
  <c r="G151" i="40"/>
  <c r="G152" i="40"/>
  <c r="E153" i="40"/>
  <c r="G153" i="40"/>
  <c r="E154" i="40"/>
  <c r="G154" i="40"/>
  <c r="E155" i="40"/>
  <c r="G155" i="40"/>
  <c r="E156" i="40"/>
  <c r="G156" i="40"/>
  <c r="E157" i="40"/>
  <c r="G157" i="40"/>
  <c r="E158" i="40"/>
  <c r="G158" i="40"/>
  <c r="E159" i="40"/>
  <c r="G159" i="40"/>
  <c r="E160" i="40"/>
  <c r="G160" i="40"/>
  <c r="E161" i="40"/>
  <c r="G161" i="40"/>
  <c r="G162" i="40"/>
  <c r="E163" i="40"/>
  <c r="G163" i="40"/>
  <c r="E164" i="40"/>
  <c r="E165" i="40"/>
  <c r="E166" i="40"/>
  <c r="E168" i="40"/>
  <c r="E182" i="40"/>
  <c r="G182" i="40"/>
  <c r="E183" i="40"/>
  <c r="G183" i="40"/>
  <c r="E184" i="40"/>
  <c r="G184" i="40"/>
  <c r="E185" i="40"/>
  <c r="G185" i="40"/>
  <c r="E186" i="40"/>
  <c r="G186" i="40"/>
  <c r="G187" i="40"/>
  <c r="G188" i="40"/>
  <c r="G189" i="40"/>
  <c r="G190" i="40"/>
  <c r="G191" i="40"/>
  <c r="G192" i="40"/>
  <c r="G193" i="40"/>
  <c r="G194" i="40"/>
  <c r="G195" i="40"/>
  <c r="G196" i="40"/>
  <c r="G197" i="40"/>
  <c r="G198" i="40"/>
  <c r="G199" i="40"/>
  <c r="G200" i="40"/>
  <c r="G201" i="40"/>
  <c r="E202" i="40"/>
  <c r="G202" i="40"/>
  <c r="E203" i="40"/>
  <c r="G203" i="40"/>
  <c r="E204" i="40"/>
  <c r="G204" i="40"/>
  <c r="E205" i="40"/>
  <c r="G205" i="40"/>
  <c r="E206" i="40"/>
  <c r="G206" i="40"/>
  <c r="E207" i="40"/>
  <c r="G207" i="40"/>
  <c r="E208" i="40"/>
  <c r="G208" i="40"/>
  <c r="E209" i="40"/>
  <c r="G209" i="40"/>
  <c r="E210" i="40"/>
  <c r="G210" i="40"/>
  <c r="E211" i="40"/>
  <c r="G211" i="40"/>
  <c r="E212" i="40"/>
  <c r="G212" i="40"/>
  <c r="E213" i="40"/>
  <c r="G213" i="40"/>
  <c r="E214" i="40"/>
  <c r="G214" i="40"/>
  <c r="E215" i="40"/>
  <c r="G215" i="40"/>
  <c r="E216" i="40"/>
  <c r="G216" i="40"/>
  <c r="E217" i="40"/>
  <c r="G217" i="40"/>
  <c r="E218" i="40"/>
  <c r="G218" i="40"/>
  <c r="E219" i="40"/>
  <c r="G219" i="40"/>
  <c r="E220" i="40"/>
  <c r="G220" i="40"/>
  <c r="E221" i="40"/>
  <c r="E222" i="40"/>
  <c r="E223" i="40"/>
  <c r="E225" i="40"/>
  <c r="E239" i="40"/>
  <c r="G239" i="40"/>
  <c r="E240" i="40"/>
  <c r="G240" i="40"/>
  <c r="E241" i="40"/>
  <c r="F241" i="40"/>
  <c r="G241" i="40"/>
  <c r="E242" i="40"/>
  <c r="G242" i="40"/>
  <c r="E243" i="40"/>
  <c r="G243" i="40"/>
  <c r="E244" i="40"/>
  <c r="G244" i="40"/>
  <c r="E245" i="40"/>
  <c r="G245" i="40"/>
  <c r="E246" i="40"/>
  <c r="G246" i="40"/>
  <c r="E247" i="40"/>
  <c r="G247" i="40"/>
  <c r="E248" i="40"/>
  <c r="G248" i="40"/>
  <c r="E249" i="40"/>
  <c r="G249" i="40"/>
  <c r="E250" i="40"/>
  <c r="G250" i="40"/>
  <c r="E251" i="40"/>
  <c r="G251" i="40"/>
  <c r="E252" i="40"/>
  <c r="G252" i="40"/>
  <c r="E253" i="40"/>
  <c r="G253" i="40"/>
  <c r="E254" i="40"/>
  <c r="G254" i="40"/>
  <c r="E255" i="40"/>
  <c r="G255" i="40"/>
  <c r="E256" i="40"/>
  <c r="G256" i="40"/>
  <c r="E257" i="40"/>
  <c r="G257" i="40"/>
  <c r="E258" i="40"/>
  <c r="G258" i="40"/>
  <c r="E259" i="40"/>
  <c r="G259" i="40"/>
  <c r="E260" i="40"/>
  <c r="G260" i="40"/>
  <c r="E261" i="40"/>
  <c r="G261" i="40"/>
  <c r="E262" i="40"/>
  <c r="G262" i="40"/>
  <c r="E263" i="40"/>
  <c r="G263" i="40"/>
  <c r="E264" i="40"/>
  <c r="G264" i="40"/>
  <c r="E265" i="40"/>
  <c r="G265" i="40"/>
  <c r="E266" i="40"/>
  <c r="G266" i="40"/>
  <c r="E267" i="40"/>
  <c r="G267" i="40"/>
  <c r="E268" i="40"/>
  <c r="G268" i="40"/>
  <c r="E269" i="40"/>
  <c r="G269" i="40"/>
  <c r="E270" i="40"/>
  <c r="G270" i="40"/>
  <c r="E271" i="40"/>
  <c r="G271" i="40"/>
  <c r="E272" i="40"/>
  <c r="E273" i="40"/>
  <c r="E274" i="40"/>
  <c r="E276" i="40"/>
  <c r="E290" i="40"/>
  <c r="G290" i="40"/>
  <c r="E291" i="40"/>
  <c r="G291" i="40"/>
  <c r="E292" i="40"/>
  <c r="G292" i="40"/>
  <c r="E293" i="40"/>
  <c r="G293" i="40"/>
  <c r="E294" i="40"/>
  <c r="G294" i="40"/>
  <c r="E295" i="40"/>
  <c r="G295" i="40"/>
  <c r="E296" i="40"/>
  <c r="G296" i="40"/>
  <c r="E297" i="40"/>
  <c r="G297" i="40"/>
  <c r="E299" i="40"/>
  <c r="G299" i="40"/>
  <c r="E300" i="40"/>
  <c r="G300" i="40"/>
  <c r="E301" i="40"/>
  <c r="G301" i="40"/>
  <c r="E302" i="40"/>
  <c r="G302" i="40"/>
  <c r="E303" i="40"/>
  <c r="G303" i="40"/>
  <c r="E304" i="40"/>
  <c r="G304" i="40"/>
  <c r="E305" i="40"/>
  <c r="G305" i="40"/>
  <c r="E306" i="40"/>
  <c r="G306" i="40"/>
  <c r="E307" i="40"/>
  <c r="G307" i="40"/>
  <c r="E308" i="40"/>
  <c r="G308" i="40"/>
  <c r="E309" i="40"/>
  <c r="G309" i="40"/>
  <c r="E310" i="40"/>
  <c r="G310" i="40"/>
  <c r="E311" i="40"/>
  <c r="G311" i="40"/>
  <c r="E312" i="40"/>
  <c r="G312" i="40"/>
  <c r="E313" i="40"/>
  <c r="G313" i="40"/>
  <c r="E314" i="40"/>
  <c r="G314" i="40"/>
  <c r="E315" i="40"/>
  <c r="G315" i="40"/>
  <c r="E316" i="40"/>
  <c r="G316" i="40"/>
  <c r="E317" i="40"/>
  <c r="G317" i="40"/>
  <c r="E318" i="40"/>
  <c r="G318" i="40"/>
  <c r="E319" i="40"/>
  <c r="G319" i="40"/>
  <c r="E320" i="40"/>
  <c r="G320" i="40"/>
  <c r="E321" i="40"/>
  <c r="G321" i="40"/>
  <c r="E322" i="40"/>
  <c r="G322" i="40"/>
  <c r="E323" i="40"/>
  <c r="G323" i="40"/>
  <c r="E324" i="40"/>
  <c r="G324" i="40"/>
  <c r="E325" i="40"/>
  <c r="G325" i="40"/>
  <c r="E326" i="40"/>
  <c r="G326" i="40"/>
  <c r="E327" i="40"/>
  <c r="G327" i="40"/>
  <c r="E328" i="40"/>
  <c r="G328" i="40"/>
  <c r="E329" i="40"/>
  <c r="E330" i="40"/>
  <c r="E331" i="40"/>
  <c r="E333" i="40"/>
  <c r="H328" i="41" l="1"/>
  <c r="E328" i="41"/>
  <c r="D328" i="41"/>
  <c r="G328" i="41" s="1"/>
  <c r="H327" i="41"/>
  <c r="E327" i="41"/>
  <c r="D327" i="41"/>
  <c r="G327" i="41" s="1"/>
  <c r="H326" i="41"/>
  <c r="E326" i="41"/>
  <c r="D326" i="41"/>
  <c r="G326" i="41" s="1"/>
  <c r="H325" i="41"/>
  <c r="E325" i="41"/>
  <c r="D325" i="41"/>
  <c r="G325" i="41" s="1"/>
  <c r="H324" i="41"/>
  <c r="E324" i="41"/>
  <c r="D324" i="41"/>
  <c r="G324" i="41" s="1"/>
  <c r="H323" i="41"/>
  <c r="E323" i="41"/>
  <c r="D323" i="41"/>
  <c r="G323" i="41" s="1"/>
  <c r="H322" i="41"/>
  <c r="E322" i="41"/>
  <c r="D322" i="41"/>
  <c r="G322" i="41" s="1"/>
  <c r="H321" i="41"/>
  <c r="E321" i="41"/>
  <c r="D321" i="41"/>
  <c r="G321" i="41" s="1"/>
  <c r="H320" i="41"/>
  <c r="E320" i="41"/>
  <c r="D320" i="41"/>
  <c r="G320" i="41" s="1"/>
  <c r="H319" i="41"/>
  <c r="E319" i="41"/>
  <c r="D319" i="41"/>
  <c r="G319" i="41" s="1"/>
  <c r="H318" i="41"/>
  <c r="E318" i="41"/>
  <c r="D318" i="41"/>
  <c r="G318" i="41" s="1"/>
  <c r="H317" i="41"/>
  <c r="E317" i="41"/>
  <c r="D317" i="41"/>
  <c r="G317" i="41" s="1"/>
  <c r="H316" i="41"/>
  <c r="E316" i="41"/>
  <c r="D316" i="41"/>
  <c r="G316" i="41" s="1"/>
  <c r="H315" i="41"/>
  <c r="E315" i="41"/>
  <c r="D315" i="41"/>
  <c r="G315" i="41" s="1"/>
  <c r="H314" i="41"/>
  <c r="E314" i="41"/>
  <c r="D314" i="41"/>
  <c r="G314" i="41" s="1"/>
  <c r="H313" i="41"/>
  <c r="E313" i="41"/>
  <c r="D313" i="41"/>
  <c r="G313" i="41" s="1"/>
  <c r="H312" i="41"/>
  <c r="E312" i="41"/>
  <c r="D312" i="41"/>
  <c r="G312" i="41" s="1"/>
  <c r="H311" i="41"/>
  <c r="E311" i="41"/>
  <c r="D311" i="41"/>
  <c r="G311" i="41" s="1"/>
  <c r="H310" i="41"/>
  <c r="E310" i="41"/>
  <c r="D310" i="41"/>
  <c r="G310" i="41" s="1"/>
  <c r="H309" i="41"/>
  <c r="E309" i="41"/>
  <c r="D309" i="41"/>
  <c r="G309" i="41" s="1"/>
  <c r="H308" i="41"/>
  <c r="E308" i="41"/>
  <c r="D308" i="41"/>
  <c r="G308" i="41" s="1"/>
  <c r="H307" i="41"/>
  <c r="E307" i="41"/>
  <c r="D307" i="41"/>
  <c r="G307" i="41" s="1"/>
  <c r="H306" i="41"/>
  <c r="E306" i="41"/>
  <c r="D306" i="41"/>
  <c r="G306" i="41" s="1"/>
  <c r="H305" i="41"/>
  <c r="E305" i="41"/>
  <c r="D305" i="41"/>
  <c r="G305" i="41" s="1"/>
  <c r="H304" i="41"/>
  <c r="E304" i="41"/>
  <c r="D304" i="41"/>
  <c r="G304" i="41" s="1"/>
  <c r="H303" i="41"/>
  <c r="E303" i="41"/>
  <c r="D303" i="41"/>
  <c r="G303" i="41" s="1"/>
  <c r="H302" i="41"/>
  <c r="E302" i="41"/>
  <c r="D302" i="41"/>
  <c r="G302" i="41" s="1"/>
  <c r="H301" i="41"/>
  <c r="E301" i="41"/>
  <c r="D301" i="41"/>
  <c r="G301" i="41" s="1"/>
  <c r="H300" i="41"/>
  <c r="E300" i="41"/>
  <c r="D300" i="41"/>
  <c r="G300" i="41" s="1"/>
  <c r="H299" i="41"/>
  <c r="E299" i="41"/>
  <c r="D299" i="41"/>
  <c r="G299" i="41" s="1"/>
  <c r="H298" i="41"/>
  <c r="H297" i="41"/>
  <c r="E297" i="41"/>
  <c r="D297" i="41"/>
  <c r="G297" i="41" s="1"/>
  <c r="H296" i="41"/>
  <c r="E296" i="41"/>
  <c r="D296" i="41"/>
  <c r="G296" i="41" s="1"/>
  <c r="H295" i="41"/>
  <c r="D295" i="41"/>
  <c r="G295" i="41" s="1"/>
  <c r="H294" i="41"/>
  <c r="D294" i="41"/>
  <c r="G294" i="41" s="1"/>
  <c r="H293" i="41"/>
  <c r="D293" i="41"/>
  <c r="G293" i="41" s="1"/>
  <c r="H292" i="41"/>
  <c r="D292" i="41"/>
  <c r="G292" i="41" s="1"/>
  <c r="H291" i="41"/>
  <c r="D291" i="41"/>
  <c r="G291" i="41" s="1"/>
  <c r="H290" i="41"/>
  <c r="H329" i="41" s="1"/>
  <c r="D290" i="41"/>
  <c r="G290" i="41" s="1"/>
  <c r="H271" i="41"/>
  <c r="E271" i="41"/>
  <c r="D271" i="41"/>
  <c r="G271" i="41" s="1"/>
  <c r="H270" i="41"/>
  <c r="E270" i="41"/>
  <c r="D270" i="41"/>
  <c r="G270" i="41" s="1"/>
  <c r="H269" i="41"/>
  <c r="E269" i="41"/>
  <c r="D269" i="41"/>
  <c r="G269" i="41" s="1"/>
  <c r="H268" i="41"/>
  <c r="E268" i="41"/>
  <c r="D268" i="41"/>
  <c r="G268" i="41" s="1"/>
  <c r="H267" i="41"/>
  <c r="E267" i="41"/>
  <c r="D267" i="41"/>
  <c r="G267" i="41" s="1"/>
  <c r="H266" i="41"/>
  <c r="E266" i="41"/>
  <c r="D266" i="41"/>
  <c r="G266" i="41" s="1"/>
  <c r="H265" i="41"/>
  <c r="E265" i="41"/>
  <c r="D265" i="41"/>
  <c r="G265" i="41" s="1"/>
  <c r="H264" i="41"/>
  <c r="E264" i="41"/>
  <c r="D264" i="41"/>
  <c r="G264" i="41" s="1"/>
  <c r="H263" i="41"/>
  <c r="E263" i="41"/>
  <c r="D263" i="41"/>
  <c r="G263" i="41" s="1"/>
  <c r="H262" i="41"/>
  <c r="E262" i="41"/>
  <c r="D262" i="41"/>
  <c r="G262" i="41" s="1"/>
  <c r="H261" i="41"/>
  <c r="E261" i="41"/>
  <c r="D261" i="41"/>
  <c r="G261" i="41" s="1"/>
  <c r="H260" i="41"/>
  <c r="E260" i="41"/>
  <c r="D260" i="41"/>
  <c r="G260" i="41" s="1"/>
  <c r="H259" i="41"/>
  <c r="E259" i="41"/>
  <c r="D259" i="41"/>
  <c r="G259" i="41" s="1"/>
  <c r="H258" i="41"/>
  <c r="E258" i="41"/>
  <c r="D258" i="41"/>
  <c r="G258" i="41" s="1"/>
  <c r="H257" i="41"/>
  <c r="E257" i="41"/>
  <c r="D257" i="41"/>
  <c r="G257" i="41" s="1"/>
  <c r="H256" i="41"/>
  <c r="E256" i="41"/>
  <c r="D256" i="41"/>
  <c r="G256" i="41" s="1"/>
  <c r="H255" i="41"/>
  <c r="E255" i="41"/>
  <c r="D255" i="41"/>
  <c r="G255" i="41" s="1"/>
  <c r="H254" i="41"/>
  <c r="E254" i="41"/>
  <c r="D254" i="41"/>
  <c r="G254" i="41" s="1"/>
  <c r="H253" i="41"/>
  <c r="E253" i="41"/>
  <c r="D253" i="41"/>
  <c r="G253" i="41" s="1"/>
  <c r="H252" i="41"/>
  <c r="E252" i="41"/>
  <c r="D252" i="41"/>
  <c r="G252" i="41" s="1"/>
  <c r="H251" i="41"/>
  <c r="E251" i="41"/>
  <c r="D251" i="41"/>
  <c r="G251" i="41" s="1"/>
  <c r="E250" i="41"/>
  <c r="D250" i="41"/>
  <c r="G250" i="41" s="1"/>
  <c r="H250" i="41" s="1"/>
  <c r="E249" i="41"/>
  <c r="D249" i="41"/>
  <c r="G249" i="41" s="1"/>
  <c r="H249" i="41" s="1"/>
  <c r="E248" i="41"/>
  <c r="D248" i="41"/>
  <c r="G248" i="41" s="1"/>
  <c r="H248" i="41" s="1"/>
  <c r="E247" i="41"/>
  <c r="D247" i="41"/>
  <c r="G247" i="41" s="1"/>
  <c r="H247" i="41" s="1"/>
  <c r="E246" i="41"/>
  <c r="D246" i="41"/>
  <c r="G246" i="41" s="1"/>
  <c r="H246" i="41" s="1"/>
  <c r="E245" i="41"/>
  <c r="D245" i="41"/>
  <c r="G245" i="41" s="1"/>
  <c r="H245" i="41" s="1"/>
  <c r="E244" i="41"/>
  <c r="D244" i="41"/>
  <c r="G244" i="41" s="1"/>
  <c r="H244" i="41" s="1"/>
  <c r="E243" i="41"/>
  <c r="D243" i="41"/>
  <c r="G243" i="41" s="1"/>
  <c r="H243" i="41" s="1"/>
  <c r="E242" i="41"/>
  <c r="D242" i="41"/>
  <c r="G242" i="41" s="1"/>
  <c r="H242" i="41" s="1"/>
  <c r="F241" i="41"/>
  <c r="E241" i="41"/>
  <c r="D241" i="41"/>
  <c r="G241" i="41" s="1"/>
  <c r="E240" i="41"/>
  <c r="D240" i="41"/>
  <c r="G240" i="41" s="1"/>
  <c r="H240" i="41" s="1"/>
  <c r="E239" i="41"/>
  <c r="E272" i="41" s="1"/>
  <c r="D239" i="41"/>
  <c r="G239" i="41" s="1"/>
  <c r="H239" i="41" s="1"/>
  <c r="H220" i="41"/>
  <c r="E220" i="41"/>
  <c r="D220" i="41"/>
  <c r="G220" i="41" s="1"/>
  <c r="H219" i="41"/>
  <c r="E219" i="41"/>
  <c r="D219" i="41"/>
  <c r="G219" i="41" s="1"/>
  <c r="H218" i="41"/>
  <c r="E218" i="41"/>
  <c r="D218" i="41"/>
  <c r="G218" i="41" s="1"/>
  <c r="H217" i="41"/>
  <c r="E217" i="41"/>
  <c r="D217" i="41"/>
  <c r="G217" i="41" s="1"/>
  <c r="H216" i="41"/>
  <c r="E216" i="41"/>
  <c r="D216" i="41"/>
  <c r="G216" i="41" s="1"/>
  <c r="H215" i="41"/>
  <c r="E215" i="41"/>
  <c r="D215" i="41"/>
  <c r="G215" i="41" s="1"/>
  <c r="H214" i="41"/>
  <c r="E214" i="41"/>
  <c r="D214" i="41"/>
  <c r="G214" i="41" s="1"/>
  <c r="H213" i="41"/>
  <c r="E213" i="41"/>
  <c r="D213" i="41"/>
  <c r="G213" i="41" s="1"/>
  <c r="H212" i="41"/>
  <c r="E212" i="41"/>
  <c r="D212" i="41"/>
  <c r="G212" i="41" s="1"/>
  <c r="H211" i="41"/>
  <c r="E211" i="41"/>
  <c r="D211" i="41"/>
  <c r="G211" i="41" s="1"/>
  <c r="H210" i="41"/>
  <c r="E210" i="41"/>
  <c r="D210" i="41"/>
  <c r="G210" i="41" s="1"/>
  <c r="H209" i="41"/>
  <c r="E209" i="41"/>
  <c r="D209" i="41"/>
  <c r="G209" i="41" s="1"/>
  <c r="H208" i="41"/>
  <c r="E208" i="41"/>
  <c r="D208" i="41"/>
  <c r="G208" i="41" s="1"/>
  <c r="H207" i="41"/>
  <c r="E207" i="41"/>
  <c r="D207" i="41"/>
  <c r="G207" i="41" s="1"/>
  <c r="H206" i="41"/>
  <c r="E206" i="41"/>
  <c r="D206" i="41"/>
  <c r="G206" i="41" s="1"/>
  <c r="H205" i="41"/>
  <c r="E205" i="41"/>
  <c r="D205" i="41"/>
  <c r="G205" i="41" s="1"/>
  <c r="H204" i="41"/>
  <c r="E204" i="41"/>
  <c r="D204" i="41"/>
  <c r="G204" i="41" s="1"/>
  <c r="H203" i="41"/>
  <c r="E203" i="41"/>
  <c r="D203" i="41"/>
  <c r="G203" i="41" s="1"/>
  <c r="H202" i="41"/>
  <c r="E202" i="41"/>
  <c r="D202" i="41"/>
  <c r="G202" i="41" s="1"/>
  <c r="H201" i="41"/>
  <c r="D201" i="41"/>
  <c r="G201" i="41" s="1"/>
  <c r="D200" i="41"/>
  <c r="G200" i="41" s="1"/>
  <c r="H200" i="41" s="1"/>
  <c r="D199" i="41"/>
  <c r="G199" i="41" s="1"/>
  <c r="H199" i="41" s="1"/>
  <c r="D198" i="41"/>
  <c r="G198" i="41" s="1"/>
  <c r="H198" i="41" s="1"/>
  <c r="D197" i="41"/>
  <c r="G197" i="41" s="1"/>
  <c r="H197" i="41" s="1"/>
  <c r="D196" i="41"/>
  <c r="G196" i="41" s="1"/>
  <c r="H196" i="41" s="1"/>
  <c r="D195" i="41"/>
  <c r="G195" i="41" s="1"/>
  <c r="H195" i="41" s="1"/>
  <c r="D194" i="41"/>
  <c r="G194" i="41" s="1"/>
  <c r="H194" i="41" s="1"/>
  <c r="D193" i="41"/>
  <c r="G193" i="41" s="1"/>
  <c r="H193" i="41" s="1"/>
  <c r="D192" i="41"/>
  <c r="G192" i="41" s="1"/>
  <c r="H192" i="41" s="1"/>
  <c r="D191" i="41"/>
  <c r="G191" i="41" s="1"/>
  <c r="H191" i="41" s="1"/>
  <c r="D190" i="41"/>
  <c r="G190" i="41" s="1"/>
  <c r="H190" i="41" s="1"/>
  <c r="D189" i="41"/>
  <c r="G189" i="41" s="1"/>
  <c r="H189" i="41" s="1"/>
  <c r="D188" i="41"/>
  <c r="G188" i="41" s="1"/>
  <c r="H188" i="41" s="1"/>
  <c r="D187" i="41"/>
  <c r="G187" i="41" s="1"/>
  <c r="H187" i="41" s="1"/>
  <c r="D186" i="41"/>
  <c r="G186" i="41" s="1"/>
  <c r="H186" i="41" s="1"/>
  <c r="D185" i="41"/>
  <c r="G185" i="41" s="1"/>
  <c r="H185" i="41" s="1"/>
  <c r="D184" i="41"/>
  <c r="G184" i="41" s="1"/>
  <c r="H184" i="41" s="1"/>
  <c r="H163" i="41"/>
  <c r="E163" i="41"/>
  <c r="D163" i="41"/>
  <c r="G163" i="41" s="1"/>
  <c r="D162" i="41"/>
  <c r="G162" i="41" s="1"/>
  <c r="H161" i="41"/>
  <c r="E161" i="41"/>
  <c r="D161" i="41"/>
  <c r="G161" i="41" s="1"/>
  <c r="H160" i="41"/>
  <c r="E160" i="41"/>
  <c r="D160" i="41"/>
  <c r="G160" i="41" s="1"/>
  <c r="H159" i="41"/>
  <c r="E159" i="41"/>
  <c r="D159" i="41"/>
  <c r="G159" i="41" s="1"/>
  <c r="H158" i="41"/>
  <c r="E158" i="41"/>
  <c r="D158" i="41"/>
  <c r="G158" i="41" s="1"/>
  <c r="H157" i="41"/>
  <c r="E157" i="41"/>
  <c r="D157" i="41"/>
  <c r="G157" i="41" s="1"/>
  <c r="H156" i="41"/>
  <c r="E156" i="41"/>
  <c r="D156" i="41"/>
  <c r="G156" i="41" s="1"/>
  <c r="H155" i="41"/>
  <c r="E155" i="41"/>
  <c r="D155" i="41"/>
  <c r="G155" i="41" s="1"/>
  <c r="H154" i="41"/>
  <c r="E154" i="41"/>
  <c r="D154" i="41"/>
  <c r="G154" i="41" s="1"/>
  <c r="H153" i="41"/>
  <c r="E153" i="41"/>
  <c r="D153" i="41"/>
  <c r="G153" i="41" s="1"/>
  <c r="H152" i="41"/>
  <c r="D152" i="41"/>
  <c r="G152" i="41" s="1"/>
  <c r="H151" i="41"/>
  <c r="D151" i="41"/>
  <c r="G151" i="41" s="1"/>
  <c r="H150" i="41"/>
  <c r="D150" i="41"/>
  <c r="G150" i="41" s="1"/>
  <c r="H149" i="41"/>
  <c r="D149" i="41"/>
  <c r="G149" i="41" s="1"/>
  <c r="H148" i="41"/>
  <c r="D148" i="41"/>
  <c r="G148" i="41" s="1"/>
  <c r="H147" i="41"/>
  <c r="D147" i="41"/>
  <c r="G147" i="41" s="1"/>
  <c r="D146" i="41"/>
  <c r="G146" i="41" s="1"/>
  <c r="H146" i="41" s="1"/>
  <c r="D145" i="41"/>
  <c r="G145" i="41" s="1"/>
  <c r="H145" i="41" s="1"/>
  <c r="D144" i="41"/>
  <c r="G144" i="41" s="1"/>
  <c r="H144" i="41" s="1"/>
  <c r="D143" i="41"/>
  <c r="G143" i="41" s="1"/>
  <c r="H143" i="41" s="1"/>
  <c r="D142" i="41"/>
  <c r="G142" i="41" s="1"/>
  <c r="H142" i="41" s="1"/>
  <c r="D141" i="41"/>
  <c r="G141" i="41" s="1"/>
  <c r="H141" i="41" s="1"/>
  <c r="D140" i="41"/>
  <c r="G140" i="41" s="1"/>
  <c r="H140" i="41" s="1"/>
  <c r="D139" i="41"/>
  <c r="G139" i="41" s="1"/>
  <c r="H139" i="41" s="1"/>
  <c r="D138" i="41"/>
  <c r="G138" i="41" s="1"/>
  <c r="H138" i="41" s="1"/>
  <c r="D137" i="41"/>
  <c r="G137" i="41" s="1"/>
  <c r="H137" i="41" s="1"/>
  <c r="D136" i="41"/>
  <c r="G136" i="41" s="1"/>
  <c r="H136" i="41" s="1"/>
  <c r="D135" i="41"/>
  <c r="G135" i="41" s="1"/>
  <c r="H135" i="41" s="1"/>
  <c r="D134" i="41"/>
  <c r="G134" i="41" s="1"/>
  <c r="H134" i="41" s="1"/>
  <c r="E133" i="41"/>
  <c r="D133" i="41"/>
  <c r="G133" i="41" s="1"/>
  <c r="H133" i="41" s="1"/>
  <c r="D132" i="41"/>
  <c r="G132" i="41" s="1"/>
  <c r="H132" i="41" s="1"/>
  <c r="D131" i="41"/>
  <c r="G131" i="41" s="1"/>
  <c r="H131" i="41" s="1"/>
  <c r="D130" i="41"/>
  <c r="G130" i="41" s="1"/>
  <c r="H130" i="41" s="1"/>
  <c r="E129" i="41"/>
  <c r="D129" i="41"/>
  <c r="G129" i="41" s="1"/>
  <c r="H129" i="41" s="1"/>
  <c r="D128" i="41"/>
  <c r="G128" i="41" s="1"/>
  <c r="H128" i="41" s="1"/>
  <c r="D127" i="41"/>
  <c r="G127" i="41" s="1"/>
  <c r="H127" i="41" s="1"/>
  <c r="D126" i="41"/>
  <c r="G126" i="41" s="1"/>
  <c r="H126" i="41" s="1"/>
  <c r="D125" i="41"/>
  <c r="G125" i="41" s="1"/>
  <c r="H125" i="41" s="1"/>
  <c r="D124" i="41"/>
  <c r="G124" i="41" s="1"/>
  <c r="H124" i="41" s="1"/>
  <c r="H164" i="41" s="1"/>
  <c r="H105" i="41"/>
  <c r="E105" i="41"/>
  <c r="D105" i="41"/>
  <c r="G105" i="41" s="1"/>
  <c r="E104" i="41"/>
  <c r="D104" i="41"/>
  <c r="G104" i="41" s="1"/>
  <c r="E103" i="41"/>
  <c r="D103" i="41"/>
  <c r="G103" i="41" s="1"/>
  <c r="H102" i="41"/>
  <c r="E102" i="41"/>
  <c r="D102" i="41"/>
  <c r="G102" i="41" s="1"/>
  <c r="H101" i="41"/>
  <c r="E101" i="41"/>
  <c r="D101" i="41"/>
  <c r="G101" i="41" s="1"/>
  <c r="H100" i="41"/>
  <c r="E100" i="41"/>
  <c r="D100" i="41"/>
  <c r="G100" i="41" s="1"/>
  <c r="H99" i="41"/>
  <c r="E99" i="41"/>
  <c r="D99" i="41"/>
  <c r="G99" i="41" s="1"/>
  <c r="H98" i="41"/>
  <c r="E98" i="41"/>
  <c r="D98" i="41"/>
  <c r="G98" i="41" s="1"/>
  <c r="H97" i="41"/>
  <c r="E97" i="41"/>
  <c r="D97" i="41"/>
  <c r="G97" i="41" s="1"/>
  <c r="H96" i="41"/>
  <c r="E96" i="41"/>
  <c r="D96" i="41"/>
  <c r="G96" i="41" s="1"/>
  <c r="H95" i="41"/>
  <c r="E95" i="41"/>
  <c r="D95" i="41"/>
  <c r="G95" i="41" s="1"/>
  <c r="H94" i="41"/>
  <c r="E94" i="41"/>
  <c r="D94" i="41"/>
  <c r="G94" i="41" s="1"/>
  <c r="H93" i="41"/>
  <c r="E93" i="41"/>
  <c r="D93" i="41"/>
  <c r="G93" i="41" s="1"/>
  <c r="H92" i="41"/>
  <c r="E92" i="41"/>
  <c r="D92" i="41"/>
  <c r="G92" i="41" s="1"/>
  <c r="H91" i="41"/>
  <c r="E91" i="41"/>
  <c r="D91" i="41"/>
  <c r="G91" i="41" s="1"/>
  <c r="H90" i="41"/>
  <c r="E90" i="41"/>
  <c r="D90" i="41"/>
  <c r="G90" i="41" s="1"/>
  <c r="E89" i="41"/>
  <c r="D89" i="41"/>
  <c r="G89" i="41" s="1"/>
  <c r="H89" i="41" s="1"/>
  <c r="E88" i="41"/>
  <c r="D88" i="41"/>
  <c r="G88" i="41" s="1"/>
  <c r="H88" i="41" s="1"/>
  <c r="E87" i="41"/>
  <c r="D87" i="41"/>
  <c r="G87" i="41" s="1"/>
  <c r="H87" i="41" s="1"/>
  <c r="E86" i="41"/>
  <c r="D86" i="41"/>
  <c r="G86" i="41" s="1"/>
  <c r="H86" i="41" s="1"/>
  <c r="E85" i="41"/>
  <c r="D85" i="41"/>
  <c r="G85" i="41" s="1"/>
  <c r="H85" i="41" s="1"/>
  <c r="D84" i="41"/>
  <c r="G84" i="41" s="1"/>
  <c r="H84" i="41" s="1"/>
  <c r="D83" i="41"/>
  <c r="G83" i="41" s="1"/>
  <c r="H83" i="41" s="1"/>
  <c r="D82" i="41"/>
  <c r="G82" i="41" s="1"/>
  <c r="H82" i="41" s="1"/>
  <c r="D81" i="41"/>
  <c r="G81" i="41" s="1"/>
  <c r="H81" i="41" s="1"/>
  <c r="D80" i="41"/>
  <c r="G80" i="41" s="1"/>
  <c r="H80" i="41" s="1"/>
  <c r="D79" i="41"/>
  <c r="G79" i="41" s="1"/>
  <c r="H79" i="41" s="1"/>
  <c r="D78" i="41"/>
  <c r="G78" i="41" s="1"/>
  <c r="H78" i="41" s="1"/>
  <c r="D77" i="41"/>
  <c r="G77" i="41" s="1"/>
  <c r="H77" i="41" s="1"/>
  <c r="D76" i="41"/>
  <c r="G76" i="41" s="1"/>
  <c r="H76" i="41" s="1"/>
  <c r="D75" i="41"/>
  <c r="G75" i="41" s="1"/>
  <c r="H75" i="41" s="1"/>
  <c r="D74" i="41"/>
  <c r="G74" i="41" s="1"/>
  <c r="H74" i="41" s="1"/>
  <c r="D73" i="41"/>
  <c r="G73" i="41" s="1"/>
  <c r="H73" i="41" s="1"/>
  <c r="D72" i="41"/>
  <c r="G72" i="41" s="1"/>
  <c r="H72" i="41" s="1"/>
  <c r="D71" i="41"/>
  <c r="G71" i="41" s="1"/>
  <c r="H71" i="41" s="1"/>
  <c r="D70" i="41"/>
  <c r="G70" i="41" s="1"/>
  <c r="H70" i="41" s="1"/>
  <c r="E69" i="41"/>
  <c r="D69" i="41"/>
  <c r="G69" i="41" s="1"/>
  <c r="H69" i="41" s="1"/>
  <c r="D68" i="41"/>
  <c r="G68" i="41" s="1"/>
  <c r="H68" i="41" s="1"/>
  <c r="D65" i="41"/>
  <c r="G65" i="41" s="1"/>
  <c r="H65" i="41" s="1"/>
  <c r="H47" i="41"/>
  <c r="E47" i="41"/>
  <c r="D47" i="41"/>
  <c r="G47" i="41" s="1"/>
  <c r="H46" i="41"/>
  <c r="E46" i="41"/>
  <c r="D46" i="41"/>
  <c r="G46" i="41" s="1"/>
  <c r="H45" i="41"/>
  <c r="E45" i="41"/>
  <c r="D45" i="41"/>
  <c r="G45" i="41" s="1"/>
  <c r="H44" i="41"/>
  <c r="E44" i="41"/>
  <c r="D44" i="41"/>
  <c r="G44" i="41" s="1"/>
  <c r="H43" i="41"/>
  <c r="E43" i="41"/>
  <c r="D43" i="41"/>
  <c r="G43" i="41" s="1"/>
  <c r="H42" i="41"/>
  <c r="E42" i="41"/>
  <c r="D42" i="41"/>
  <c r="G42" i="41" s="1"/>
  <c r="H41" i="41"/>
  <c r="E41" i="41"/>
  <c r="D41" i="41"/>
  <c r="G41" i="41" s="1"/>
  <c r="H40" i="41"/>
  <c r="E40" i="41"/>
  <c r="D40" i="41"/>
  <c r="G40" i="41" s="1"/>
  <c r="H39" i="41"/>
  <c r="E39" i="41"/>
  <c r="D39" i="41"/>
  <c r="G39" i="41" s="1"/>
  <c r="H38" i="41"/>
  <c r="E38" i="41"/>
  <c r="D38" i="41"/>
  <c r="G38" i="41" s="1"/>
  <c r="H37" i="41"/>
  <c r="E37" i="41"/>
  <c r="D37" i="41"/>
  <c r="G37" i="41" s="1"/>
  <c r="H36" i="41"/>
  <c r="E36" i="41"/>
  <c r="D36" i="41"/>
  <c r="G36" i="41" s="1"/>
  <c r="H35" i="41"/>
  <c r="E35" i="41"/>
  <c r="D35" i="41"/>
  <c r="G35" i="41" s="1"/>
  <c r="H34" i="41"/>
  <c r="E34" i="41"/>
  <c r="D34" i="41"/>
  <c r="G34" i="41" s="1"/>
  <c r="H33" i="41"/>
  <c r="E33" i="41"/>
  <c r="D33" i="41"/>
  <c r="G33" i="41" s="1"/>
  <c r="H32" i="41"/>
  <c r="E32" i="41"/>
  <c r="D32" i="41"/>
  <c r="G32" i="41" s="1"/>
  <c r="E31" i="41"/>
  <c r="D31" i="41"/>
  <c r="G31" i="41" s="1"/>
  <c r="E30" i="41"/>
  <c r="D30" i="41"/>
  <c r="G30" i="41" s="1"/>
  <c r="E29" i="41"/>
  <c r="D29" i="41"/>
  <c r="G29" i="41" s="1"/>
  <c r="E28" i="41"/>
  <c r="D28" i="41"/>
  <c r="G28" i="41" s="1"/>
  <c r="E27" i="41"/>
  <c r="D27" i="41"/>
  <c r="G27" i="41" s="1"/>
  <c r="E26" i="41"/>
  <c r="D26" i="41"/>
  <c r="G26" i="41" s="1"/>
  <c r="E25" i="41"/>
  <c r="D25" i="41"/>
  <c r="G25" i="41" s="1"/>
  <c r="E24" i="41"/>
  <c r="D24" i="41"/>
  <c r="G24" i="41" s="1"/>
  <c r="E23" i="41"/>
  <c r="D23" i="41"/>
  <c r="G23" i="41" s="1"/>
  <c r="H22" i="41"/>
  <c r="E22" i="41"/>
  <c r="D22" i="41"/>
  <c r="G22" i="41" s="1"/>
  <c r="H21" i="41"/>
  <c r="E21" i="41"/>
  <c r="D21" i="41"/>
  <c r="G21" i="41" s="1"/>
  <c r="E20" i="41"/>
  <c r="D20" i="41"/>
  <c r="G20" i="41" s="1"/>
  <c r="H20" i="41" s="1"/>
  <c r="E19" i="41"/>
  <c r="D19" i="41"/>
  <c r="G19" i="41" s="1"/>
  <c r="H19" i="41" s="1"/>
  <c r="E18" i="41"/>
  <c r="D18" i="41"/>
  <c r="G18" i="41" s="1"/>
  <c r="H18" i="41" s="1"/>
  <c r="E17" i="41"/>
  <c r="D17" i="41"/>
  <c r="G17" i="41" s="1"/>
  <c r="H17" i="41" s="1"/>
  <c r="E16" i="41"/>
  <c r="D16" i="41"/>
  <c r="G16" i="41" s="1"/>
  <c r="H16" i="41" s="1"/>
  <c r="E15" i="41"/>
  <c r="D15" i="41"/>
  <c r="G15" i="41" s="1"/>
  <c r="H15" i="41" s="1"/>
  <c r="E14" i="41"/>
  <c r="D14" i="41"/>
  <c r="G14" i="41" s="1"/>
  <c r="H14" i="41" s="1"/>
  <c r="D13" i="41"/>
  <c r="G13" i="41" s="1"/>
  <c r="H13" i="41" s="1"/>
  <c r="D12" i="41"/>
  <c r="G12" i="41" s="1"/>
  <c r="H12" i="41" s="1"/>
  <c r="D11" i="41"/>
  <c r="G11" i="41" s="1"/>
  <c r="H11" i="41" s="1"/>
  <c r="D9" i="41"/>
  <c r="G9" i="41" s="1"/>
  <c r="H9" i="41" s="1"/>
  <c r="H328" i="40"/>
  <c r="D328" i="40"/>
  <c r="H327" i="40"/>
  <c r="D327" i="40"/>
  <c r="H326" i="40"/>
  <c r="D326" i="40"/>
  <c r="H325" i="40"/>
  <c r="D325" i="40"/>
  <c r="H324" i="40"/>
  <c r="D324" i="40"/>
  <c r="H323" i="40"/>
  <c r="D323" i="40"/>
  <c r="H322" i="40"/>
  <c r="D322" i="40"/>
  <c r="H321" i="40"/>
  <c r="D321" i="40"/>
  <c r="H320" i="40"/>
  <c r="D320" i="40"/>
  <c r="H319" i="40"/>
  <c r="D319" i="40"/>
  <c r="H318" i="40"/>
  <c r="D318" i="40"/>
  <c r="H317" i="40"/>
  <c r="D317" i="40"/>
  <c r="H316" i="40"/>
  <c r="D316" i="40"/>
  <c r="H315" i="40"/>
  <c r="D315" i="40"/>
  <c r="H314" i="40"/>
  <c r="D314" i="40"/>
  <c r="H313" i="40"/>
  <c r="D313" i="40"/>
  <c r="H312" i="40"/>
  <c r="D312" i="40"/>
  <c r="H311" i="40"/>
  <c r="D311" i="40"/>
  <c r="H310" i="40"/>
  <c r="D310" i="40"/>
  <c r="H309" i="40"/>
  <c r="D309" i="40"/>
  <c r="H308" i="40"/>
  <c r="D308" i="40"/>
  <c r="H307" i="40"/>
  <c r="D307" i="40"/>
  <c r="H306" i="40"/>
  <c r="D306" i="40"/>
  <c r="H305" i="40"/>
  <c r="D305" i="40"/>
  <c r="H304" i="40"/>
  <c r="D304" i="40"/>
  <c r="H303" i="40"/>
  <c r="D303" i="40"/>
  <c r="H302" i="40"/>
  <c r="D302" i="40"/>
  <c r="H301" i="40"/>
  <c r="D301" i="40"/>
  <c r="H300" i="40"/>
  <c r="D300" i="40"/>
  <c r="H299" i="40"/>
  <c r="D299" i="40"/>
  <c r="H298" i="40"/>
  <c r="H297" i="40"/>
  <c r="D297" i="40"/>
  <c r="H296" i="40"/>
  <c r="D296" i="40"/>
  <c r="H295" i="40"/>
  <c r="D295" i="40"/>
  <c r="H294" i="40"/>
  <c r="D294" i="40"/>
  <c r="H293" i="40"/>
  <c r="D293" i="40"/>
  <c r="H292" i="40"/>
  <c r="D292" i="40"/>
  <c r="H291" i="40"/>
  <c r="D291" i="40"/>
  <c r="H290" i="40"/>
  <c r="H329" i="40" s="1"/>
  <c r="D290" i="40"/>
  <c r="H271" i="40"/>
  <c r="D271" i="40"/>
  <c r="H270" i="40"/>
  <c r="D270" i="40"/>
  <c r="H269" i="40"/>
  <c r="D269" i="40"/>
  <c r="H268" i="40"/>
  <c r="D268" i="40"/>
  <c r="H267" i="40"/>
  <c r="D267" i="40"/>
  <c r="H266" i="40"/>
  <c r="D266" i="40"/>
  <c r="H265" i="40"/>
  <c r="D265" i="40"/>
  <c r="H264" i="40"/>
  <c r="D264" i="40"/>
  <c r="H263" i="40"/>
  <c r="D263" i="40"/>
  <c r="H262" i="40"/>
  <c r="D262" i="40"/>
  <c r="H261" i="40"/>
  <c r="D261" i="40"/>
  <c r="H260" i="40"/>
  <c r="D260" i="40"/>
  <c r="H259" i="40"/>
  <c r="D259" i="40"/>
  <c r="H258" i="40"/>
  <c r="D258" i="40"/>
  <c r="H257" i="40"/>
  <c r="D257" i="40"/>
  <c r="H256" i="40"/>
  <c r="D256" i="40"/>
  <c r="H255" i="40"/>
  <c r="D255" i="40"/>
  <c r="H254" i="40"/>
  <c r="D254" i="40"/>
  <c r="H253" i="40"/>
  <c r="D253" i="40"/>
  <c r="H252" i="40"/>
  <c r="D252" i="40"/>
  <c r="H251" i="40"/>
  <c r="D251" i="40"/>
  <c r="D250" i="40"/>
  <c r="H250" i="40" s="1"/>
  <c r="D249" i="40"/>
  <c r="H249" i="40" s="1"/>
  <c r="D248" i="40"/>
  <c r="H248" i="40" s="1"/>
  <c r="D247" i="40"/>
  <c r="H247" i="40" s="1"/>
  <c r="D246" i="40"/>
  <c r="H246" i="40" s="1"/>
  <c r="D245" i="40"/>
  <c r="H245" i="40" s="1"/>
  <c r="D244" i="40"/>
  <c r="H244" i="40" s="1"/>
  <c r="D243" i="40"/>
  <c r="H243" i="40" s="1"/>
  <c r="D242" i="40"/>
  <c r="H242" i="40" s="1"/>
  <c r="D241" i="40"/>
  <c r="D240" i="40"/>
  <c r="H240" i="40" s="1"/>
  <c r="D239" i="40"/>
  <c r="H239" i="40" s="1"/>
  <c r="H220" i="40"/>
  <c r="D220" i="40"/>
  <c r="H219" i="40"/>
  <c r="D219" i="40"/>
  <c r="H218" i="40"/>
  <c r="D218" i="40"/>
  <c r="H217" i="40"/>
  <c r="D217" i="40"/>
  <c r="H216" i="40"/>
  <c r="D216" i="40"/>
  <c r="H215" i="40"/>
  <c r="D215" i="40"/>
  <c r="H214" i="40"/>
  <c r="D214" i="40"/>
  <c r="H213" i="40"/>
  <c r="D213" i="40"/>
  <c r="H212" i="40"/>
  <c r="D212" i="40"/>
  <c r="H211" i="40"/>
  <c r="D211" i="40"/>
  <c r="H210" i="40"/>
  <c r="D210" i="40"/>
  <c r="H209" i="40"/>
  <c r="D209" i="40"/>
  <c r="H208" i="40"/>
  <c r="D208" i="40"/>
  <c r="H207" i="40"/>
  <c r="D207" i="40"/>
  <c r="H206" i="40"/>
  <c r="D206" i="40"/>
  <c r="H205" i="40"/>
  <c r="D205" i="40"/>
  <c r="H204" i="40"/>
  <c r="D204" i="40"/>
  <c r="H203" i="40"/>
  <c r="D203" i="40"/>
  <c r="H202" i="40"/>
  <c r="D202" i="40"/>
  <c r="H201" i="40"/>
  <c r="D201" i="40"/>
  <c r="D200" i="40"/>
  <c r="H200" i="40" s="1"/>
  <c r="D199" i="40"/>
  <c r="H199" i="40" s="1"/>
  <c r="D198" i="40"/>
  <c r="H198" i="40" s="1"/>
  <c r="D197" i="40"/>
  <c r="H197" i="40" s="1"/>
  <c r="D196" i="40"/>
  <c r="H196" i="40" s="1"/>
  <c r="D195" i="40"/>
  <c r="H195" i="40" s="1"/>
  <c r="D194" i="40"/>
  <c r="H194" i="40" s="1"/>
  <c r="D193" i="40"/>
  <c r="H193" i="40" s="1"/>
  <c r="D192" i="40"/>
  <c r="H192" i="40" s="1"/>
  <c r="D191" i="40"/>
  <c r="H191" i="40" s="1"/>
  <c r="D190" i="40"/>
  <c r="H190" i="40" s="1"/>
  <c r="D189" i="40"/>
  <c r="H189" i="40" s="1"/>
  <c r="D188" i="40"/>
  <c r="H188" i="40" s="1"/>
  <c r="D187" i="40"/>
  <c r="H187" i="40" s="1"/>
  <c r="D186" i="40"/>
  <c r="H186" i="40" s="1"/>
  <c r="D185" i="40"/>
  <c r="H185" i="40" s="1"/>
  <c r="D184" i="40"/>
  <c r="H184" i="40" s="1"/>
  <c r="H163" i="40"/>
  <c r="D163" i="40"/>
  <c r="D162" i="40"/>
  <c r="H161" i="40"/>
  <c r="D161" i="40"/>
  <c r="H160" i="40"/>
  <c r="D160" i="40"/>
  <c r="H159" i="40"/>
  <c r="D159" i="40"/>
  <c r="H158" i="40"/>
  <c r="D158" i="40"/>
  <c r="H157" i="40"/>
  <c r="D157" i="40"/>
  <c r="H156" i="40"/>
  <c r="D156" i="40"/>
  <c r="H155" i="40"/>
  <c r="D155" i="40"/>
  <c r="H154" i="40"/>
  <c r="D154" i="40"/>
  <c r="H153" i="40"/>
  <c r="D153" i="40"/>
  <c r="H152" i="40"/>
  <c r="D152" i="40"/>
  <c r="H151" i="40"/>
  <c r="D151" i="40"/>
  <c r="H150" i="40"/>
  <c r="D150" i="40"/>
  <c r="H149" i="40"/>
  <c r="D149" i="40"/>
  <c r="H148" i="40"/>
  <c r="D148" i="40"/>
  <c r="H147" i="40"/>
  <c r="D147" i="40"/>
  <c r="D146" i="40"/>
  <c r="H146" i="40" s="1"/>
  <c r="D145" i="40"/>
  <c r="H145" i="40" s="1"/>
  <c r="D144" i="40"/>
  <c r="H144" i="40" s="1"/>
  <c r="D143" i="40"/>
  <c r="H143" i="40" s="1"/>
  <c r="D142" i="40"/>
  <c r="H142" i="40" s="1"/>
  <c r="D141" i="40"/>
  <c r="H141" i="40" s="1"/>
  <c r="D140" i="40"/>
  <c r="H140" i="40" s="1"/>
  <c r="D139" i="40"/>
  <c r="H139" i="40" s="1"/>
  <c r="D138" i="40"/>
  <c r="H138" i="40" s="1"/>
  <c r="D137" i="40"/>
  <c r="H137" i="40" s="1"/>
  <c r="D135" i="40"/>
  <c r="H135" i="40" s="1"/>
  <c r="D133" i="40"/>
  <c r="H133" i="40" s="1"/>
  <c r="D132" i="40"/>
  <c r="H132" i="40" s="1"/>
  <c r="D131" i="40"/>
  <c r="H131" i="40" s="1"/>
  <c r="D130" i="40"/>
  <c r="H130" i="40" s="1"/>
  <c r="D129" i="40"/>
  <c r="H129" i="40" s="1"/>
  <c r="D128" i="40"/>
  <c r="H128" i="40" s="1"/>
  <c r="D127" i="40"/>
  <c r="H127" i="40" s="1"/>
  <c r="D124" i="40"/>
  <c r="H124" i="40" s="1"/>
  <c r="H105" i="40"/>
  <c r="D105" i="40"/>
  <c r="D104" i="40"/>
  <c r="D103" i="40"/>
  <c r="H102" i="40"/>
  <c r="D102" i="40"/>
  <c r="H101" i="40"/>
  <c r="D101" i="40"/>
  <c r="H100" i="40"/>
  <c r="D100" i="40"/>
  <c r="H99" i="40"/>
  <c r="D99" i="40"/>
  <c r="H98" i="40"/>
  <c r="D98" i="40"/>
  <c r="H97" i="40"/>
  <c r="D97" i="40"/>
  <c r="H96" i="40"/>
  <c r="D96" i="40"/>
  <c r="H95" i="40"/>
  <c r="D95" i="40"/>
  <c r="H94" i="40"/>
  <c r="D94" i="40"/>
  <c r="H93" i="40"/>
  <c r="D93" i="40"/>
  <c r="H92" i="40"/>
  <c r="D92" i="40"/>
  <c r="H91" i="40"/>
  <c r="D91" i="40"/>
  <c r="D90" i="40"/>
  <c r="H90" i="40" s="1"/>
  <c r="D89" i="40"/>
  <c r="H89" i="40" s="1"/>
  <c r="D88" i="40"/>
  <c r="H88" i="40" s="1"/>
  <c r="D87" i="40"/>
  <c r="H87" i="40" s="1"/>
  <c r="D86" i="40"/>
  <c r="H86" i="40" s="1"/>
  <c r="D85" i="40"/>
  <c r="H85" i="40" s="1"/>
  <c r="D84" i="40"/>
  <c r="H84" i="40" s="1"/>
  <c r="D83" i="40"/>
  <c r="H83" i="40" s="1"/>
  <c r="D82" i="40"/>
  <c r="H82" i="40" s="1"/>
  <c r="D81" i="40"/>
  <c r="H81" i="40" s="1"/>
  <c r="D80" i="40"/>
  <c r="H80" i="40" s="1"/>
  <c r="D79" i="40"/>
  <c r="H79" i="40" s="1"/>
  <c r="D78" i="40"/>
  <c r="H78" i="40" s="1"/>
  <c r="D77" i="40"/>
  <c r="H77" i="40" s="1"/>
  <c r="D76" i="40"/>
  <c r="H76" i="40" s="1"/>
  <c r="D75" i="40"/>
  <c r="H75" i="40" s="1"/>
  <c r="D74" i="40"/>
  <c r="H74" i="40" s="1"/>
  <c r="D73" i="40"/>
  <c r="H73" i="40" s="1"/>
  <c r="D72" i="40"/>
  <c r="H72" i="40" s="1"/>
  <c r="D66" i="40"/>
  <c r="H66" i="40" s="1"/>
  <c r="H47" i="40"/>
  <c r="D47" i="40"/>
  <c r="H46" i="40"/>
  <c r="D46" i="40"/>
  <c r="H45" i="40"/>
  <c r="D45" i="40"/>
  <c r="H44" i="40"/>
  <c r="D44" i="40"/>
  <c r="H43" i="40"/>
  <c r="D43" i="40"/>
  <c r="H42" i="40"/>
  <c r="D42" i="40"/>
  <c r="H41" i="40"/>
  <c r="D41" i="40"/>
  <c r="H40" i="40"/>
  <c r="D40" i="40"/>
  <c r="H39" i="40"/>
  <c r="D39" i="40"/>
  <c r="H38" i="40"/>
  <c r="D38" i="40"/>
  <c r="H37" i="40"/>
  <c r="D37" i="40"/>
  <c r="H36" i="40"/>
  <c r="D36" i="40"/>
  <c r="H35" i="40"/>
  <c r="D35" i="40"/>
  <c r="H34" i="40"/>
  <c r="D34" i="40"/>
  <c r="H33" i="40"/>
  <c r="D33" i="40"/>
  <c r="H32" i="40"/>
  <c r="D32" i="40"/>
  <c r="D31" i="40"/>
  <c r="D30" i="40"/>
  <c r="D29" i="40"/>
  <c r="D28" i="40"/>
  <c r="D27" i="40"/>
  <c r="D26" i="40"/>
  <c r="D25" i="40"/>
  <c r="D24" i="40"/>
  <c r="D23" i="40"/>
  <c r="H22" i="40"/>
  <c r="D22" i="40"/>
  <c r="H21" i="40"/>
  <c r="D21" i="40"/>
  <c r="D20" i="40"/>
  <c r="H20" i="40" s="1"/>
  <c r="D19" i="40"/>
  <c r="H19" i="40" s="1"/>
  <c r="D18" i="40"/>
  <c r="H18" i="40" s="1"/>
  <c r="D17" i="40"/>
  <c r="H17" i="40" s="1"/>
  <c r="D16" i="40"/>
  <c r="H16" i="40" s="1"/>
  <c r="D15" i="40"/>
  <c r="H15" i="40" s="1"/>
  <c r="D14" i="40"/>
  <c r="H14" i="40" s="1"/>
  <c r="D13" i="40"/>
  <c r="H13" i="40" s="1"/>
  <c r="D12" i="40"/>
  <c r="H12" i="40" s="1"/>
  <c r="D11" i="40"/>
  <c r="H11" i="40" s="1"/>
  <c r="D10" i="40"/>
  <c r="H10" i="40" s="1"/>
  <c r="D9" i="40"/>
  <c r="H9" i="40" s="1"/>
  <c r="H48" i="40" s="1"/>
  <c r="H328" i="39"/>
  <c r="E328" i="39"/>
  <c r="D328" i="39"/>
  <c r="G328" i="39" s="1"/>
  <c r="H327" i="39"/>
  <c r="E327" i="39"/>
  <c r="D327" i="39"/>
  <c r="G327" i="39" s="1"/>
  <c r="H326" i="39"/>
  <c r="E326" i="39"/>
  <c r="D326" i="39"/>
  <c r="G326" i="39" s="1"/>
  <c r="H325" i="39"/>
  <c r="E325" i="39"/>
  <c r="D325" i="39"/>
  <c r="G325" i="39" s="1"/>
  <c r="H324" i="39"/>
  <c r="E324" i="39"/>
  <c r="D324" i="39"/>
  <c r="G324" i="39" s="1"/>
  <c r="H323" i="39"/>
  <c r="E323" i="39"/>
  <c r="D323" i="39"/>
  <c r="G323" i="39" s="1"/>
  <c r="H322" i="39"/>
  <c r="E322" i="39"/>
  <c r="D322" i="39"/>
  <c r="G322" i="39" s="1"/>
  <c r="H321" i="39"/>
  <c r="E321" i="39"/>
  <c r="D321" i="39"/>
  <c r="G321" i="39" s="1"/>
  <c r="H320" i="39"/>
  <c r="E320" i="39"/>
  <c r="D320" i="39"/>
  <c r="G320" i="39" s="1"/>
  <c r="H319" i="39"/>
  <c r="E319" i="39"/>
  <c r="D319" i="39"/>
  <c r="G319" i="39" s="1"/>
  <c r="H318" i="39"/>
  <c r="E318" i="39"/>
  <c r="D318" i="39"/>
  <c r="G318" i="39" s="1"/>
  <c r="H317" i="39"/>
  <c r="E317" i="39"/>
  <c r="D317" i="39"/>
  <c r="G317" i="39" s="1"/>
  <c r="H316" i="39"/>
  <c r="E316" i="39"/>
  <c r="D316" i="39"/>
  <c r="G316" i="39" s="1"/>
  <c r="H315" i="39"/>
  <c r="E315" i="39"/>
  <c r="D315" i="39"/>
  <c r="G315" i="39" s="1"/>
  <c r="H314" i="39"/>
  <c r="E314" i="39"/>
  <c r="D314" i="39"/>
  <c r="G314" i="39" s="1"/>
  <c r="H313" i="39"/>
  <c r="E313" i="39"/>
  <c r="D313" i="39"/>
  <c r="G313" i="39" s="1"/>
  <c r="H312" i="39"/>
  <c r="E312" i="39"/>
  <c r="D312" i="39"/>
  <c r="G312" i="39" s="1"/>
  <c r="H311" i="39"/>
  <c r="E311" i="39"/>
  <c r="D311" i="39"/>
  <c r="G311" i="39" s="1"/>
  <c r="H310" i="39"/>
  <c r="E310" i="39"/>
  <c r="D310" i="39"/>
  <c r="G310" i="39" s="1"/>
  <c r="H309" i="39"/>
  <c r="E309" i="39"/>
  <c r="D309" i="39"/>
  <c r="G309" i="39" s="1"/>
  <c r="H308" i="39"/>
  <c r="E308" i="39"/>
  <c r="D308" i="39"/>
  <c r="G308" i="39" s="1"/>
  <c r="H307" i="39"/>
  <c r="E307" i="39"/>
  <c r="D307" i="39"/>
  <c r="G307" i="39" s="1"/>
  <c r="H306" i="39"/>
  <c r="E306" i="39"/>
  <c r="D306" i="39"/>
  <c r="G306" i="39" s="1"/>
  <c r="H305" i="39"/>
  <c r="E305" i="39"/>
  <c r="D305" i="39"/>
  <c r="G305" i="39" s="1"/>
  <c r="H304" i="39"/>
  <c r="E304" i="39"/>
  <c r="D304" i="39"/>
  <c r="G304" i="39" s="1"/>
  <c r="H303" i="39"/>
  <c r="E303" i="39"/>
  <c r="D303" i="39"/>
  <c r="G303" i="39" s="1"/>
  <c r="H302" i="39"/>
  <c r="E302" i="39"/>
  <c r="D302" i="39"/>
  <c r="G302" i="39" s="1"/>
  <c r="H301" i="39"/>
  <c r="E301" i="39"/>
  <c r="D301" i="39"/>
  <c r="G301" i="39" s="1"/>
  <c r="H300" i="39"/>
  <c r="E300" i="39"/>
  <c r="D300" i="39"/>
  <c r="G300" i="39" s="1"/>
  <c r="H299" i="39"/>
  <c r="E299" i="39"/>
  <c r="D299" i="39"/>
  <c r="G299" i="39" s="1"/>
  <c r="H298" i="39"/>
  <c r="H297" i="39"/>
  <c r="E297" i="39"/>
  <c r="D297" i="39"/>
  <c r="G297" i="39" s="1"/>
  <c r="H296" i="39"/>
  <c r="E296" i="39"/>
  <c r="D296" i="39"/>
  <c r="G296" i="39" s="1"/>
  <c r="H295" i="39"/>
  <c r="D295" i="39"/>
  <c r="G295" i="39" s="1"/>
  <c r="H294" i="39"/>
  <c r="D294" i="39"/>
  <c r="G294" i="39" s="1"/>
  <c r="H293" i="39"/>
  <c r="D293" i="39"/>
  <c r="G293" i="39" s="1"/>
  <c r="H292" i="39"/>
  <c r="D292" i="39"/>
  <c r="G292" i="39" s="1"/>
  <c r="H291" i="39"/>
  <c r="D291" i="39"/>
  <c r="G291" i="39" s="1"/>
  <c r="H290" i="39"/>
  <c r="H329" i="39" s="1"/>
  <c r="D290" i="39"/>
  <c r="G290" i="39" s="1"/>
  <c r="H271" i="39"/>
  <c r="E271" i="39"/>
  <c r="D271" i="39"/>
  <c r="G271" i="39" s="1"/>
  <c r="H270" i="39"/>
  <c r="E270" i="39"/>
  <c r="D270" i="39"/>
  <c r="G270" i="39" s="1"/>
  <c r="H269" i="39"/>
  <c r="E269" i="39"/>
  <c r="D269" i="39"/>
  <c r="G269" i="39" s="1"/>
  <c r="H268" i="39"/>
  <c r="E268" i="39"/>
  <c r="D268" i="39"/>
  <c r="G268" i="39" s="1"/>
  <c r="H267" i="39"/>
  <c r="E267" i="39"/>
  <c r="D267" i="39"/>
  <c r="G267" i="39" s="1"/>
  <c r="H266" i="39"/>
  <c r="E266" i="39"/>
  <c r="D266" i="39"/>
  <c r="G266" i="39" s="1"/>
  <c r="H265" i="39"/>
  <c r="E265" i="39"/>
  <c r="D265" i="39"/>
  <c r="G265" i="39" s="1"/>
  <c r="H264" i="39"/>
  <c r="E264" i="39"/>
  <c r="D264" i="39"/>
  <c r="G264" i="39" s="1"/>
  <c r="H263" i="39"/>
  <c r="E263" i="39"/>
  <c r="D263" i="39"/>
  <c r="G263" i="39" s="1"/>
  <c r="H262" i="39"/>
  <c r="E262" i="39"/>
  <c r="D262" i="39"/>
  <c r="G262" i="39" s="1"/>
  <c r="H261" i="39"/>
  <c r="E261" i="39"/>
  <c r="D261" i="39"/>
  <c r="G261" i="39" s="1"/>
  <c r="H260" i="39"/>
  <c r="E260" i="39"/>
  <c r="D260" i="39"/>
  <c r="G260" i="39" s="1"/>
  <c r="H259" i="39"/>
  <c r="E259" i="39"/>
  <c r="D259" i="39"/>
  <c r="G259" i="39" s="1"/>
  <c r="H258" i="39"/>
  <c r="E258" i="39"/>
  <c r="D258" i="39"/>
  <c r="G258" i="39" s="1"/>
  <c r="H257" i="39"/>
  <c r="E257" i="39"/>
  <c r="D257" i="39"/>
  <c r="G257" i="39" s="1"/>
  <c r="H256" i="39"/>
  <c r="E256" i="39"/>
  <c r="D256" i="39"/>
  <c r="G256" i="39" s="1"/>
  <c r="H255" i="39"/>
  <c r="E255" i="39"/>
  <c r="D255" i="39"/>
  <c r="G255" i="39" s="1"/>
  <c r="H254" i="39"/>
  <c r="E254" i="39"/>
  <c r="D254" i="39"/>
  <c r="G254" i="39" s="1"/>
  <c r="H253" i="39"/>
  <c r="E253" i="39"/>
  <c r="D253" i="39"/>
  <c r="G253" i="39" s="1"/>
  <c r="H252" i="39"/>
  <c r="E252" i="39"/>
  <c r="D252" i="39"/>
  <c r="G252" i="39" s="1"/>
  <c r="H251" i="39"/>
  <c r="E251" i="39"/>
  <c r="D251" i="39"/>
  <c r="G251" i="39" s="1"/>
  <c r="E250" i="39"/>
  <c r="D250" i="39"/>
  <c r="G250" i="39" s="1"/>
  <c r="H250" i="39" s="1"/>
  <c r="E249" i="39"/>
  <c r="D249" i="39"/>
  <c r="G249" i="39" s="1"/>
  <c r="H249" i="39" s="1"/>
  <c r="E248" i="39"/>
  <c r="D248" i="39"/>
  <c r="G248" i="39" s="1"/>
  <c r="H248" i="39" s="1"/>
  <c r="E247" i="39"/>
  <c r="D247" i="39"/>
  <c r="G247" i="39" s="1"/>
  <c r="H247" i="39" s="1"/>
  <c r="E246" i="39"/>
  <c r="D246" i="39"/>
  <c r="G246" i="39" s="1"/>
  <c r="H246" i="39" s="1"/>
  <c r="E245" i="39"/>
  <c r="D245" i="39"/>
  <c r="G245" i="39" s="1"/>
  <c r="H245" i="39" s="1"/>
  <c r="E244" i="39"/>
  <c r="D244" i="39"/>
  <c r="G244" i="39" s="1"/>
  <c r="H244" i="39" s="1"/>
  <c r="E243" i="39"/>
  <c r="D243" i="39"/>
  <c r="G243" i="39" s="1"/>
  <c r="H243" i="39" s="1"/>
  <c r="E242" i="39"/>
  <c r="D242" i="39"/>
  <c r="G242" i="39" s="1"/>
  <c r="H242" i="39" s="1"/>
  <c r="F241" i="39"/>
  <c r="E241" i="39"/>
  <c r="D241" i="39"/>
  <c r="G241" i="39" s="1"/>
  <c r="E240" i="39"/>
  <c r="D240" i="39"/>
  <c r="G240" i="39" s="1"/>
  <c r="H240" i="39" s="1"/>
  <c r="E239" i="39"/>
  <c r="E272" i="39" s="1"/>
  <c r="D239" i="39"/>
  <c r="G239" i="39" s="1"/>
  <c r="H239" i="39" s="1"/>
  <c r="H220" i="39"/>
  <c r="E220" i="39"/>
  <c r="D220" i="39"/>
  <c r="G220" i="39" s="1"/>
  <c r="H219" i="39"/>
  <c r="E219" i="39"/>
  <c r="D219" i="39"/>
  <c r="G219" i="39" s="1"/>
  <c r="H218" i="39"/>
  <c r="E218" i="39"/>
  <c r="D218" i="39"/>
  <c r="G218" i="39" s="1"/>
  <c r="H217" i="39"/>
  <c r="E217" i="39"/>
  <c r="D217" i="39"/>
  <c r="G217" i="39" s="1"/>
  <c r="H216" i="39"/>
  <c r="E216" i="39"/>
  <c r="D216" i="39"/>
  <c r="G216" i="39" s="1"/>
  <c r="H215" i="39"/>
  <c r="E215" i="39"/>
  <c r="D215" i="39"/>
  <c r="G215" i="39" s="1"/>
  <c r="H214" i="39"/>
  <c r="E214" i="39"/>
  <c r="D214" i="39"/>
  <c r="G214" i="39" s="1"/>
  <c r="H213" i="39"/>
  <c r="E213" i="39"/>
  <c r="D213" i="39"/>
  <c r="G213" i="39" s="1"/>
  <c r="H212" i="39"/>
  <c r="E212" i="39"/>
  <c r="D212" i="39"/>
  <c r="G212" i="39" s="1"/>
  <c r="H211" i="39"/>
  <c r="E211" i="39"/>
  <c r="D211" i="39"/>
  <c r="G211" i="39" s="1"/>
  <c r="H210" i="39"/>
  <c r="E210" i="39"/>
  <c r="D210" i="39"/>
  <c r="G210" i="39" s="1"/>
  <c r="H209" i="39"/>
  <c r="E209" i="39"/>
  <c r="D209" i="39"/>
  <c r="G209" i="39" s="1"/>
  <c r="H208" i="39"/>
  <c r="E208" i="39"/>
  <c r="D208" i="39"/>
  <c r="G208" i="39" s="1"/>
  <c r="H207" i="39"/>
  <c r="E207" i="39"/>
  <c r="D207" i="39"/>
  <c r="G207" i="39" s="1"/>
  <c r="H206" i="39"/>
  <c r="E206" i="39"/>
  <c r="D206" i="39"/>
  <c r="G206" i="39" s="1"/>
  <c r="H205" i="39"/>
  <c r="E205" i="39"/>
  <c r="D205" i="39"/>
  <c r="G205" i="39" s="1"/>
  <c r="H204" i="39"/>
  <c r="E204" i="39"/>
  <c r="D204" i="39"/>
  <c r="G204" i="39" s="1"/>
  <c r="H203" i="39"/>
  <c r="E203" i="39"/>
  <c r="D203" i="39"/>
  <c r="G203" i="39" s="1"/>
  <c r="H202" i="39"/>
  <c r="E202" i="39"/>
  <c r="D202" i="39"/>
  <c r="G202" i="39" s="1"/>
  <c r="H201" i="39"/>
  <c r="D201" i="39"/>
  <c r="G201" i="39" s="1"/>
  <c r="D200" i="39"/>
  <c r="G200" i="39" s="1"/>
  <c r="H200" i="39" s="1"/>
  <c r="D199" i="39"/>
  <c r="G199" i="39" s="1"/>
  <c r="H199" i="39" s="1"/>
  <c r="D198" i="39"/>
  <c r="G198" i="39" s="1"/>
  <c r="H198" i="39" s="1"/>
  <c r="D197" i="39"/>
  <c r="G197" i="39" s="1"/>
  <c r="H197" i="39" s="1"/>
  <c r="D196" i="39"/>
  <c r="G196" i="39" s="1"/>
  <c r="H196" i="39" s="1"/>
  <c r="D195" i="39"/>
  <c r="G195" i="39" s="1"/>
  <c r="H195" i="39" s="1"/>
  <c r="D194" i="39"/>
  <c r="G194" i="39" s="1"/>
  <c r="H194" i="39" s="1"/>
  <c r="D193" i="39"/>
  <c r="G193" i="39" s="1"/>
  <c r="H193" i="39" s="1"/>
  <c r="D192" i="39"/>
  <c r="G192" i="39" s="1"/>
  <c r="H192" i="39" s="1"/>
  <c r="D191" i="39"/>
  <c r="G191" i="39" s="1"/>
  <c r="H191" i="39" s="1"/>
  <c r="D190" i="39"/>
  <c r="G190" i="39" s="1"/>
  <c r="H190" i="39" s="1"/>
  <c r="D189" i="39"/>
  <c r="G189" i="39" s="1"/>
  <c r="H189" i="39" s="1"/>
  <c r="D188" i="39"/>
  <c r="G188" i="39" s="1"/>
  <c r="H188" i="39" s="1"/>
  <c r="D187" i="39"/>
  <c r="G187" i="39" s="1"/>
  <c r="H187" i="39" s="1"/>
  <c r="D186" i="39"/>
  <c r="G186" i="39" s="1"/>
  <c r="H186" i="39" s="1"/>
  <c r="D185" i="39"/>
  <c r="G185" i="39" s="1"/>
  <c r="H185" i="39" s="1"/>
  <c r="D184" i="39"/>
  <c r="G184" i="39" s="1"/>
  <c r="H184" i="39" s="1"/>
  <c r="H163" i="39"/>
  <c r="E163" i="39"/>
  <c r="D163" i="39"/>
  <c r="G163" i="39" s="1"/>
  <c r="D162" i="39"/>
  <c r="G162" i="39" s="1"/>
  <c r="H161" i="39"/>
  <c r="E161" i="39"/>
  <c r="D161" i="39"/>
  <c r="G161" i="39" s="1"/>
  <c r="H160" i="39"/>
  <c r="E160" i="39"/>
  <c r="D160" i="39"/>
  <c r="G160" i="39" s="1"/>
  <c r="H159" i="39"/>
  <c r="E159" i="39"/>
  <c r="D159" i="39"/>
  <c r="G159" i="39" s="1"/>
  <c r="H158" i="39"/>
  <c r="E158" i="39"/>
  <c r="D158" i="39"/>
  <c r="G158" i="39" s="1"/>
  <c r="H157" i="39"/>
  <c r="E157" i="39"/>
  <c r="D157" i="39"/>
  <c r="G157" i="39" s="1"/>
  <c r="H156" i="39"/>
  <c r="E156" i="39"/>
  <c r="D156" i="39"/>
  <c r="G156" i="39" s="1"/>
  <c r="H155" i="39"/>
  <c r="E155" i="39"/>
  <c r="D155" i="39"/>
  <c r="G155" i="39" s="1"/>
  <c r="H154" i="39"/>
  <c r="E154" i="39"/>
  <c r="D154" i="39"/>
  <c r="G154" i="39" s="1"/>
  <c r="H153" i="39"/>
  <c r="E153" i="39"/>
  <c r="D153" i="39"/>
  <c r="G153" i="39" s="1"/>
  <c r="H152" i="39"/>
  <c r="D152" i="39"/>
  <c r="G152" i="39" s="1"/>
  <c r="H151" i="39"/>
  <c r="D151" i="39"/>
  <c r="G151" i="39" s="1"/>
  <c r="H150" i="39"/>
  <c r="D150" i="39"/>
  <c r="G150" i="39" s="1"/>
  <c r="H149" i="39"/>
  <c r="D149" i="39"/>
  <c r="G149" i="39" s="1"/>
  <c r="H148" i="39"/>
  <c r="D148" i="39"/>
  <c r="G148" i="39" s="1"/>
  <c r="H147" i="39"/>
  <c r="D147" i="39"/>
  <c r="G147" i="39" s="1"/>
  <c r="D146" i="39"/>
  <c r="G146" i="39" s="1"/>
  <c r="H146" i="39" s="1"/>
  <c r="D145" i="39"/>
  <c r="G145" i="39" s="1"/>
  <c r="H145" i="39" s="1"/>
  <c r="D144" i="39"/>
  <c r="G144" i="39" s="1"/>
  <c r="H144" i="39" s="1"/>
  <c r="D143" i="39"/>
  <c r="G143" i="39" s="1"/>
  <c r="H143" i="39" s="1"/>
  <c r="D142" i="39"/>
  <c r="G142" i="39" s="1"/>
  <c r="H142" i="39" s="1"/>
  <c r="D141" i="39"/>
  <c r="G141" i="39" s="1"/>
  <c r="H141" i="39" s="1"/>
  <c r="D140" i="39"/>
  <c r="G140" i="39" s="1"/>
  <c r="H140" i="39" s="1"/>
  <c r="D139" i="39"/>
  <c r="G139" i="39" s="1"/>
  <c r="H139" i="39" s="1"/>
  <c r="D138" i="39"/>
  <c r="G138" i="39" s="1"/>
  <c r="H138" i="39" s="1"/>
  <c r="D137" i="39"/>
  <c r="G137" i="39" s="1"/>
  <c r="H137" i="39" s="1"/>
  <c r="D136" i="39"/>
  <c r="G136" i="39" s="1"/>
  <c r="H136" i="39" s="1"/>
  <c r="D135" i="39"/>
  <c r="G135" i="39" s="1"/>
  <c r="H135" i="39" s="1"/>
  <c r="D134" i="39"/>
  <c r="G134" i="39" s="1"/>
  <c r="H134" i="39" s="1"/>
  <c r="E133" i="39"/>
  <c r="D133" i="39"/>
  <c r="G133" i="39" s="1"/>
  <c r="H133" i="39" s="1"/>
  <c r="D132" i="39"/>
  <c r="G132" i="39" s="1"/>
  <c r="H132" i="39" s="1"/>
  <c r="D131" i="39"/>
  <c r="G131" i="39" s="1"/>
  <c r="H131" i="39" s="1"/>
  <c r="D130" i="39"/>
  <c r="G130" i="39" s="1"/>
  <c r="H130" i="39" s="1"/>
  <c r="E129" i="39"/>
  <c r="D129" i="39"/>
  <c r="G129" i="39" s="1"/>
  <c r="H129" i="39" s="1"/>
  <c r="D128" i="39"/>
  <c r="G128" i="39" s="1"/>
  <c r="H128" i="39" s="1"/>
  <c r="D127" i="39"/>
  <c r="G127" i="39" s="1"/>
  <c r="H127" i="39" s="1"/>
  <c r="D126" i="39"/>
  <c r="G126" i="39" s="1"/>
  <c r="H126" i="39" s="1"/>
  <c r="D125" i="39"/>
  <c r="G125" i="39" s="1"/>
  <c r="H125" i="39" s="1"/>
  <c r="D124" i="39"/>
  <c r="G124" i="39" s="1"/>
  <c r="H124" i="39" s="1"/>
  <c r="H164" i="39" s="1"/>
  <c r="H105" i="39"/>
  <c r="E105" i="39"/>
  <c r="D105" i="39"/>
  <c r="G105" i="39" s="1"/>
  <c r="E104" i="39"/>
  <c r="D104" i="39"/>
  <c r="G104" i="39" s="1"/>
  <c r="E103" i="39"/>
  <c r="D103" i="39"/>
  <c r="G103" i="39" s="1"/>
  <c r="H102" i="39"/>
  <c r="E102" i="39"/>
  <c r="D102" i="39"/>
  <c r="G102" i="39" s="1"/>
  <c r="H101" i="39"/>
  <c r="E101" i="39"/>
  <c r="D101" i="39"/>
  <c r="G101" i="39" s="1"/>
  <c r="H100" i="39"/>
  <c r="E100" i="39"/>
  <c r="D100" i="39"/>
  <c r="G100" i="39" s="1"/>
  <c r="H99" i="39"/>
  <c r="E99" i="39"/>
  <c r="D99" i="39"/>
  <c r="G99" i="39" s="1"/>
  <c r="H98" i="39"/>
  <c r="E98" i="39"/>
  <c r="D98" i="39"/>
  <c r="G98" i="39" s="1"/>
  <c r="H97" i="39"/>
  <c r="E97" i="39"/>
  <c r="D97" i="39"/>
  <c r="G97" i="39" s="1"/>
  <c r="H96" i="39"/>
  <c r="E96" i="39"/>
  <c r="D96" i="39"/>
  <c r="G96" i="39" s="1"/>
  <c r="H95" i="39"/>
  <c r="E95" i="39"/>
  <c r="D95" i="39"/>
  <c r="G95" i="39" s="1"/>
  <c r="H94" i="39"/>
  <c r="E94" i="39"/>
  <c r="D94" i="39"/>
  <c r="G94" i="39" s="1"/>
  <c r="H93" i="39"/>
  <c r="E93" i="39"/>
  <c r="D93" i="39"/>
  <c r="G93" i="39" s="1"/>
  <c r="H92" i="39"/>
  <c r="E92" i="39"/>
  <c r="D92" i="39"/>
  <c r="G92" i="39" s="1"/>
  <c r="H91" i="39"/>
  <c r="E91" i="39"/>
  <c r="D91" i="39"/>
  <c r="G91" i="39" s="1"/>
  <c r="H90" i="39"/>
  <c r="E90" i="39"/>
  <c r="D90" i="39"/>
  <c r="G90" i="39" s="1"/>
  <c r="E89" i="39"/>
  <c r="D89" i="39"/>
  <c r="G89" i="39" s="1"/>
  <c r="H89" i="39" s="1"/>
  <c r="E88" i="39"/>
  <c r="D88" i="39"/>
  <c r="G88" i="39" s="1"/>
  <c r="H88" i="39" s="1"/>
  <c r="E87" i="39"/>
  <c r="D87" i="39"/>
  <c r="G87" i="39" s="1"/>
  <c r="H87" i="39" s="1"/>
  <c r="E86" i="39"/>
  <c r="D86" i="39"/>
  <c r="G86" i="39" s="1"/>
  <c r="H86" i="39" s="1"/>
  <c r="E85" i="39"/>
  <c r="D85" i="39"/>
  <c r="G85" i="39" s="1"/>
  <c r="H85" i="39" s="1"/>
  <c r="D84" i="39"/>
  <c r="G84" i="39" s="1"/>
  <c r="H84" i="39" s="1"/>
  <c r="D83" i="39"/>
  <c r="G83" i="39" s="1"/>
  <c r="H83" i="39" s="1"/>
  <c r="D82" i="39"/>
  <c r="G82" i="39" s="1"/>
  <c r="H82" i="39" s="1"/>
  <c r="D81" i="39"/>
  <c r="G81" i="39" s="1"/>
  <c r="H81" i="39" s="1"/>
  <c r="D80" i="39"/>
  <c r="G80" i="39" s="1"/>
  <c r="H80" i="39" s="1"/>
  <c r="D79" i="39"/>
  <c r="G79" i="39" s="1"/>
  <c r="H79" i="39" s="1"/>
  <c r="D78" i="39"/>
  <c r="G78" i="39" s="1"/>
  <c r="H78" i="39" s="1"/>
  <c r="D77" i="39"/>
  <c r="G77" i="39" s="1"/>
  <c r="H77" i="39" s="1"/>
  <c r="D76" i="39"/>
  <c r="G76" i="39" s="1"/>
  <c r="H76" i="39" s="1"/>
  <c r="D75" i="39"/>
  <c r="G75" i="39" s="1"/>
  <c r="H75" i="39" s="1"/>
  <c r="D74" i="39"/>
  <c r="G74" i="39" s="1"/>
  <c r="H74" i="39" s="1"/>
  <c r="D73" i="39"/>
  <c r="G73" i="39" s="1"/>
  <c r="H73" i="39" s="1"/>
  <c r="D72" i="39"/>
  <c r="G72" i="39" s="1"/>
  <c r="H72" i="39" s="1"/>
  <c r="D71" i="39"/>
  <c r="G71" i="39" s="1"/>
  <c r="H71" i="39" s="1"/>
  <c r="D70" i="39"/>
  <c r="G70" i="39" s="1"/>
  <c r="H70" i="39" s="1"/>
  <c r="E69" i="39"/>
  <c r="D69" i="39"/>
  <c r="G69" i="39" s="1"/>
  <c r="H69" i="39" s="1"/>
  <c r="D68" i="39"/>
  <c r="G68" i="39" s="1"/>
  <c r="H68" i="39" s="1"/>
  <c r="D65" i="39"/>
  <c r="G65" i="39" s="1"/>
  <c r="H65" i="39" s="1"/>
  <c r="H47" i="39"/>
  <c r="E47" i="39"/>
  <c r="D47" i="39"/>
  <c r="G47" i="39" s="1"/>
  <c r="H46" i="39"/>
  <c r="E46" i="39"/>
  <c r="D46" i="39"/>
  <c r="G46" i="39" s="1"/>
  <c r="H45" i="39"/>
  <c r="E45" i="39"/>
  <c r="D45" i="39"/>
  <c r="G45" i="39" s="1"/>
  <c r="H44" i="39"/>
  <c r="E44" i="39"/>
  <c r="D44" i="39"/>
  <c r="G44" i="39" s="1"/>
  <c r="H43" i="39"/>
  <c r="E43" i="39"/>
  <c r="D43" i="39"/>
  <c r="G43" i="39" s="1"/>
  <c r="H42" i="39"/>
  <c r="E42" i="39"/>
  <c r="D42" i="39"/>
  <c r="G42" i="39" s="1"/>
  <c r="H41" i="39"/>
  <c r="E41" i="39"/>
  <c r="D41" i="39"/>
  <c r="G41" i="39" s="1"/>
  <c r="H40" i="39"/>
  <c r="E40" i="39"/>
  <c r="D40" i="39"/>
  <c r="G40" i="39" s="1"/>
  <c r="H39" i="39"/>
  <c r="E39" i="39"/>
  <c r="D39" i="39"/>
  <c r="G39" i="39" s="1"/>
  <c r="H38" i="39"/>
  <c r="E38" i="39"/>
  <c r="D38" i="39"/>
  <c r="G38" i="39" s="1"/>
  <c r="H37" i="39"/>
  <c r="E37" i="39"/>
  <c r="D37" i="39"/>
  <c r="G37" i="39" s="1"/>
  <c r="H36" i="39"/>
  <c r="E36" i="39"/>
  <c r="D36" i="39"/>
  <c r="G36" i="39" s="1"/>
  <c r="H35" i="39"/>
  <c r="E35" i="39"/>
  <c r="D35" i="39"/>
  <c r="G35" i="39" s="1"/>
  <c r="H34" i="39"/>
  <c r="E34" i="39"/>
  <c r="D34" i="39"/>
  <c r="G34" i="39" s="1"/>
  <c r="H33" i="39"/>
  <c r="E33" i="39"/>
  <c r="D33" i="39"/>
  <c r="G33" i="39" s="1"/>
  <c r="H32" i="39"/>
  <c r="E32" i="39"/>
  <c r="D32" i="39"/>
  <c r="G32" i="39" s="1"/>
  <c r="E31" i="39"/>
  <c r="D31" i="39"/>
  <c r="G31" i="39" s="1"/>
  <c r="E30" i="39"/>
  <c r="D30" i="39"/>
  <c r="G30" i="39" s="1"/>
  <c r="E29" i="39"/>
  <c r="D29" i="39"/>
  <c r="G29" i="39" s="1"/>
  <c r="E28" i="39"/>
  <c r="D28" i="39"/>
  <c r="G28" i="39" s="1"/>
  <c r="E27" i="39"/>
  <c r="D27" i="39"/>
  <c r="G27" i="39" s="1"/>
  <c r="E26" i="39"/>
  <c r="D26" i="39"/>
  <c r="G26" i="39" s="1"/>
  <c r="E25" i="39"/>
  <c r="D25" i="39"/>
  <c r="G25" i="39" s="1"/>
  <c r="E24" i="39"/>
  <c r="D24" i="39"/>
  <c r="G24" i="39" s="1"/>
  <c r="E23" i="39"/>
  <c r="D23" i="39"/>
  <c r="G23" i="39" s="1"/>
  <c r="H22" i="39"/>
  <c r="E22" i="39"/>
  <c r="D22" i="39"/>
  <c r="G22" i="39" s="1"/>
  <c r="H21" i="39"/>
  <c r="E21" i="39"/>
  <c r="D21" i="39"/>
  <c r="G21" i="39" s="1"/>
  <c r="E20" i="39"/>
  <c r="D20" i="39"/>
  <c r="G20" i="39" s="1"/>
  <c r="H20" i="39" s="1"/>
  <c r="E19" i="39"/>
  <c r="D19" i="39"/>
  <c r="G19" i="39" s="1"/>
  <c r="H19" i="39" s="1"/>
  <c r="E18" i="39"/>
  <c r="D18" i="39"/>
  <c r="G18" i="39" s="1"/>
  <c r="H18" i="39" s="1"/>
  <c r="E17" i="39"/>
  <c r="D17" i="39"/>
  <c r="G17" i="39" s="1"/>
  <c r="H17" i="39" s="1"/>
  <c r="E16" i="39"/>
  <c r="D16" i="39"/>
  <c r="G16" i="39" s="1"/>
  <c r="H16" i="39" s="1"/>
  <c r="E15" i="39"/>
  <c r="D15" i="39"/>
  <c r="G15" i="39" s="1"/>
  <c r="H15" i="39" s="1"/>
  <c r="E14" i="39"/>
  <c r="D14" i="39"/>
  <c r="G14" i="39" s="1"/>
  <c r="H14" i="39" s="1"/>
  <c r="D13" i="39"/>
  <c r="G13" i="39" s="1"/>
  <c r="H13" i="39" s="1"/>
  <c r="D12" i="39"/>
  <c r="G12" i="39" s="1"/>
  <c r="H12" i="39" s="1"/>
  <c r="D11" i="39"/>
  <c r="G11" i="39" s="1"/>
  <c r="H11" i="39" s="1"/>
  <c r="H165" i="41" l="1"/>
  <c r="H166" i="41" s="1"/>
  <c r="H168" i="41" s="1"/>
  <c r="E9" i="41"/>
  <c r="E11" i="41"/>
  <c r="E12" i="41"/>
  <c r="E13" i="41"/>
  <c r="E65" i="41"/>
  <c r="E68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124" i="41"/>
  <c r="E125" i="41"/>
  <c r="H241" i="41"/>
  <c r="H272" i="41" s="1"/>
  <c r="E126" i="41"/>
  <c r="E127" i="41"/>
  <c r="E128" i="41"/>
  <c r="E130" i="41"/>
  <c r="E131" i="41"/>
  <c r="E132" i="41"/>
  <c r="E134" i="41"/>
  <c r="E135" i="41"/>
  <c r="E136" i="41"/>
  <c r="E137" i="41"/>
  <c r="E184" i="41"/>
  <c r="E185" i="41"/>
  <c r="E186" i="41"/>
  <c r="E273" i="41"/>
  <c r="E274" i="41" s="1"/>
  <c r="E276" i="41" s="1"/>
  <c r="H330" i="41"/>
  <c r="H331" i="41" s="1"/>
  <c r="H333" i="41" s="1"/>
  <c r="E290" i="41"/>
  <c r="E329" i="41" s="1"/>
  <c r="E291" i="41"/>
  <c r="E292" i="41"/>
  <c r="E293" i="41"/>
  <c r="E294" i="41"/>
  <c r="E295" i="41"/>
  <c r="H49" i="40"/>
  <c r="H50" i="40" s="1"/>
  <c r="H52" i="40" s="1"/>
  <c r="H241" i="40"/>
  <c r="H272" i="40" s="1"/>
  <c r="H330" i="40"/>
  <c r="H331" i="40" s="1"/>
  <c r="H333" i="40" s="1"/>
  <c r="H165" i="39"/>
  <c r="H166" i="39" s="1"/>
  <c r="H168" i="39" s="1"/>
  <c r="E11" i="39"/>
  <c r="E12" i="39"/>
  <c r="E13" i="39"/>
  <c r="E65" i="39"/>
  <c r="E68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124" i="39"/>
  <c r="E125" i="39"/>
  <c r="H241" i="39"/>
  <c r="H272" i="39" s="1"/>
  <c r="E126" i="39"/>
  <c r="E127" i="39"/>
  <c r="E128" i="39"/>
  <c r="E130" i="39"/>
  <c r="E131" i="39"/>
  <c r="E132" i="39"/>
  <c r="E134" i="39"/>
  <c r="E135" i="39"/>
  <c r="E136" i="39"/>
  <c r="E137" i="39"/>
  <c r="E184" i="39"/>
  <c r="E185" i="39"/>
  <c r="E186" i="39"/>
  <c r="E273" i="39"/>
  <c r="E274" i="39" s="1"/>
  <c r="E276" i="39" s="1"/>
  <c r="H330" i="39"/>
  <c r="H331" i="39" s="1"/>
  <c r="H333" i="39" s="1"/>
  <c r="E290" i="39"/>
  <c r="E329" i="39" s="1"/>
  <c r="E291" i="39"/>
  <c r="E292" i="39"/>
  <c r="E293" i="39"/>
  <c r="E294" i="39"/>
  <c r="E295" i="39"/>
  <c r="H273" i="41" l="1"/>
  <c r="H274" i="41" s="1"/>
  <c r="H276" i="41" s="1"/>
  <c r="E330" i="41"/>
  <c r="E331" i="41" s="1"/>
  <c r="E333" i="41" s="1"/>
  <c r="E164" i="41"/>
  <c r="H273" i="40"/>
  <c r="H274" i="40" s="1"/>
  <c r="H276" i="40" s="1"/>
  <c r="H273" i="39"/>
  <c r="H274" i="39" s="1"/>
  <c r="H276" i="39" s="1"/>
  <c r="E330" i="39"/>
  <c r="E331" i="39" s="1"/>
  <c r="E333" i="39" s="1"/>
  <c r="E164" i="39"/>
  <c r="H297" i="37"/>
  <c r="H298" i="37"/>
  <c r="H299" i="37"/>
  <c r="H300" i="37"/>
  <c r="H301" i="37"/>
  <c r="H302" i="37"/>
  <c r="H303" i="37"/>
  <c r="H304" i="37"/>
  <c r="H305" i="37"/>
  <c r="H306" i="37"/>
  <c r="H307" i="37"/>
  <c r="H308" i="37"/>
  <c r="H309" i="37"/>
  <c r="H310" i="37"/>
  <c r="H311" i="37"/>
  <c r="H312" i="37"/>
  <c r="H313" i="37"/>
  <c r="H314" i="37"/>
  <c r="H315" i="37"/>
  <c r="H316" i="37"/>
  <c r="H317" i="37"/>
  <c r="H318" i="37"/>
  <c r="H319" i="37"/>
  <c r="H320" i="37"/>
  <c r="H321" i="37"/>
  <c r="H322" i="37"/>
  <c r="H323" i="37"/>
  <c r="H324" i="37"/>
  <c r="H325" i="37"/>
  <c r="H326" i="37"/>
  <c r="H327" i="37"/>
  <c r="H328" i="37"/>
  <c r="D297" i="37"/>
  <c r="G297" i="37" s="1"/>
  <c r="D298" i="37"/>
  <c r="G298" i="37" s="1"/>
  <c r="D299" i="37"/>
  <c r="G299" i="37" s="1"/>
  <c r="D300" i="37"/>
  <c r="G300" i="37" s="1"/>
  <c r="D301" i="37"/>
  <c r="G301" i="37" s="1"/>
  <c r="D302" i="37"/>
  <c r="G302" i="37" s="1"/>
  <c r="D303" i="37"/>
  <c r="G303" i="37" s="1"/>
  <c r="D304" i="37"/>
  <c r="G304" i="37" s="1"/>
  <c r="D305" i="37"/>
  <c r="G305" i="37" s="1"/>
  <c r="D306" i="37"/>
  <c r="G306" i="37" s="1"/>
  <c r="D307" i="37"/>
  <c r="G307" i="37" s="1"/>
  <c r="D308" i="37"/>
  <c r="G308" i="37" s="1"/>
  <c r="D309" i="37"/>
  <c r="G309" i="37" s="1"/>
  <c r="D310" i="37"/>
  <c r="G310" i="37" s="1"/>
  <c r="D311" i="37"/>
  <c r="G311" i="37" s="1"/>
  <c r="D312" i="37"/>
  <c r="G312" i="37" s="1"/>
  <c r="D313" i="37"/>
  <c r="G313" i="37" s="1"/>
  <c r="D314" i="37"/>
  <c r="G314" i="37" s="1"/>
  <c r="D315" i="37"/>
  <c r="G315" i="37" s="1"/>
  <c r="D316" i="37"/>
  <c r="G316" i="37" s="1"/>
  <c r="D317" i="37"/>
  <c r="G317" i="37" s="1"/>
  <c r="D318" i="37"/>
  <c r="G318" i="37" s="1"/>
  <c r="D319" i="37"/>
  <c r="G319" i="37" s="1"/>
  <c r="D320" i="37"/>
  <c r="G320" i="37" s="1"/>
  <c r="D321" i="37"/>
  <c r="G321" i="37" s="1"/>
  <c r="D322" i="37"/>
  <c r="G322" i="37" s="1"/>
  <c r="D323" i="37"/>
  <c r="G323" i="37" s="1"/>
  <c r="D324" i="37"/>
  <c r="G324" i="37" s="1"/>
  <c r="D325" i="37"/>
  <c r="G325" i="37" s="1"/>
  <c r="D326" i="37"/>
  <c r="G326" i="37" s="1"/>
  <c r="D327" i="37"/>
  <c r="G327" i="37" s="1"/>
  <c r="D328" i="37"/>
  <c r="G328" i="37" s="1"/>
  <c r="F241" i="37"/>
  <c r="H193" i="37"/>
  <c r="H194" i="37"/>
  <c r="H195" i="37"/>
  <c r="H196" i="37"/>
  <c r="H197" i="37"/>
  <c r="H198" i="37"/>
  <c r="H199" i="37"/>
  <c r="H200" i="37"/>
  <c r="H201" i="37"/>
  <c r="H202" i="37"/>
  <c r="H203" i="37"/>
  <c r="H204" i="37"/>
  <c r="H205" i="37"/>
  <c r="H206" i="37"/>
  <c r="H207" i="37"/>
  <c r="H208" i="37"/>
  <c r="H209" i="37"/>
  <c r="H210" i="37"/>
  <c r="H211" i="37"/>
  <c r="H212" i="37"/>
  <c r="H213" i="37"/>
  <c r="H214" i="37"/>
  <c r="H215" i="37"/>
  <c r="H216" i="37"/>
  <c r="H217" i="37"/>
  <c r="H218" i="37"/>
  <c r="H219" i="37"/>
  <c r="H220" i="37"/>
  <c r="D187" i="37"/>
  <c r="D188" i="37"/>
  <c r="D189" i="37"/>
  <c r="D190" i="37"/>
  <c r="D191" i="37"/>
  <c r="D192" i="37"/>
  <c r="G192" i="37" s="1"/>
  <c r="H192" i="37" s="1"/>
  <c r="D193" i="37"/>
  <c r="G193" i="37" s="1"/>
  <c r="D194" i="37"/>
  <c r="G194" i="37" s="1"/>
  <c r="D195" i="37"/>
  <c r="G195" i="37" s="1"/>
  <c r="D196" i="37"/>
  <c r="G196" i="37" s="1"/>
  <c r="D197" i="37"/>
  <c r="G197" i="37" s="1"/>
  <c r="D198" i="37"/>
  <c r="G198" i="37" s="1"/>
  <c r="D199" i="37"/>
  <c r="G199" i="37" s="1"/>
  <c r="D200" i="37"/>
  <c r="G200" i="37" s="1"/>
  <c r="D201" i="37"/>
  <c r="G201" i="37" s="1"/>
  <c r="D202" i="37"/>
  <c r="G202" i="37" s="1"/>
  <c r="D203" i="37"/>
  <c r="G203" i="37" s="1"/>
  <c r="D204" i="37"/>
  <c r="G204" i="37" s="1"/>
  <c r="D205" i="37"/>
  <c r="G205" i="37" s="1"/>
  <c r="D206" i="37"/>
  <c r="G206" i="37" s="1"/>
  <c r="D207" i="37"/>
  <c r="G207" i="37" s="1"/>
  <c r="D208" i="37"/>
  <c r="G208" i="37" s="1"/>
  <c r="D209" i="37"/>
  <c r="G209" i="37" s="1"/>
  <c r="D210" i="37"/>
  <c r="G210" i="37" s="1"/>
  <c r="D211" i="37"/>
  <c r="G211" i="37" s="1"/>
  <c r="D212" i="37"/>
  <c r="G212" i="37" s="1"/>
  <c r="D213" i="37"/>
  <c r="G213" i="37" s="1"/>
  <c r="D214" i="37"/>
  <c r="G214" i="37" s="1"/>
  <c r="D215" i="37"/>
  <c r="G215" i="37" s="1"/>
  <c r="D216" i="37"/>
  <c r="G216" i="37" s="1"/>
  <c r="D217" i="37"/>
  <c r="G217" i="37" s="1"/>
  <c r="D218" i="37"/>
  <c r="G218" i="37" s="1"/>
  <c r="D219" i="37"/>
  <c r="G219" i="37" s="1"/>
  <c r="D220" i="37"/>
  <c r="G220" i="37" s="1"/>
  <c r="H152" i="37"/>
  <c r="H153" i="37"/>
  <c r="H154" i="37"/>
  <c r="H155" i="37"/>
  <c r="H156" i="37"/>
  <c r="H157" i="37"/>
  <c r="H158" i="37"/>
  <c r="H159" i="37"/>
  <c r="H160" i="37"/>
  <c r="H161" i="37"/>
  <c r="H162" i="37"/>
  <c r="H163" i="37"/>
  <c r="D136" i="37"/>
  <c r="D137" i="37"/>
  <c r="D138" i="37"/>
  <c r="G138" i="37" s="1"/>
  <c r="D139" i="37"/>
  <c r="G139" i="37" s="1"/>
  <c r="D140" i="37"/>
  <c r="G140" i="37" s="1"/>
  <c r="D141" i="37"/>
  <c r="G141" i="37" s="1"/>
  <c r="D142" i="37"/>
  <c r="G142" i="37" s="1"/>
  <c r="D143" i="37"/>
  <c r="G143" i="37" s="1"/>
  <c r="D144" i="37"/>
  <c r="G144" i="37" s="1"/>
  <c r="D145" i="37"/>
  <c r="G145" i="37" s="1"/>
  <c r="D146" i="37"/>
  <c r="G146" i="37" s="1"/>
  <c r="D147" i="37"/>
  <c r="G147" i="37" s="1"/>
  <c r="D148" i="37"/>
  <c r="G148" i="37" s="1"/>
  <c r="D149" i="37"/>
  <c r="G149" i="37" s="1"/>
  <c r="D150" i="37"/>
  <c r="G150" i="37" s="1"/>
  <c r="D151" i="37"/>
  <c r="G151" i="37" s="1"/>
  <c r="D152" i="37"/>
  <c r="G152" i="37" s="1"/>
  <c r="D153" i="37"/>
  <c r="G153" i="37" s="1"/>
  <c r="D154" i="37"/>
  <c r="G154" i="37" s="1"/>
  <c r="D155" i="37"/>
  <c r="G155" i="37" s="1"/>
  <c r="D156" i="37"/>
  <c r="G156" i="37" s="1"/>
  <c r="D157" i="37"/>
  <c r="G157" i="37" s="1"/>
  <c r="D158" i="37"/>
  <c r="G158" i="37" s="1"/>
  <c r="D159" i="37"/>
  <c r="G159" i="37" s="1"/>
  <c r="D160" i="37"/>
  <c r="G160" i="37" s="1"/>
  <c r="D161" i="37"/>
  <c r="G161" i="37" s="1"/>
  <c r="D162" i="37"/>
  <c r="G162" i="37" s="1"/>
  <c r="D163" i="37"/>
  <c r="G163" i="37" s="1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D18" i="37"/>
  <c r="G18" i="37" s="1"/>
  <c r="D19" i="37"/>
  <c r="G19" i="37" s="1"/>
  <c r="D20" i="37"/>
  <c r="G20" i="37" s="1"/>
  <c r="D21" i="37"/>
  <c r="G21" i="37" s="1"/>
  <c r="D22" i="37"/>
  <c r="G22" i="37" s="1"/>
  <c r="D23" i="37"/>
  <c r="G23" i="37" s="1"/>
  <c r="H23" i="37" s="1"/>
  <c r="D24" i="37"/>
  <c r="G24" i="37" s="1"/>
  <c r="H24" i="37" s="1"/>
  <c r="D25" i="37"/>
  <c r="G25" i="37" s="1"/>
  <c r="H25" i="37" s="1"/>
  <c r="D26" i="37"/>
  <c r="G26" i="37" s="1"/>
  <c r="H26" i="37" s="1"/>
  <c r="D27" i="37"/>
  <c r="G27" i="37" s="1"/>
  <c r="H27" i="37" s="1"/>
  <c r="D28" i="37"/>
  <c r="G28" i="37" s="1"/>
  <c r="H28" i="37" s="1"/>
  <c r="D29" i="37"/>
  <c r="G29" i="37" s="1"/>
  <c r="H29" i="37" s="1"/>
  <c r="D30" i="37"/>
  <c r="G30" i="37" s="1"/>
  <c r="D31" i="37"/>
  <c r="G31" i="37" s="1"/>
  <c r="D32" i="37"/>
  <c r="G32" i="37" s="1"/>
  <c r="D33" i="37"/>
  <c r="G33" i="37" s="1"/>
  <c r="D34" i="37"/>
  <c r="G34" i="37" s="1"/>
  <c r="D35" i="37"/>
  <c r="G35" i="37" s="1"/>
  <c r="D36" i="37"/>
  <c r="G36" i="37" s="1"/>
  <c r="D37" i="37"/>
  <c r="G37" i="37" s="1"/>
  <c r="D38" i="37"/>
  <c r="G38" i="37" s="1"/>
  <c r="D39" i="37"/>
  <c r="G39" i="37" s="1"/>
  <c r="D40" i="37"/>
  <c r="G40" i="37" s="1"/>
  <c r="D41" i="37"/>
  <c r="G41" i="37" s="1"/>
  <c r="D42" i="37"/>
  <c r="G42" i="37" s="1"/>
  <c r="D43" i="37"/>
  <c r="G43" i="37" s="1"/>
  <c r="D44" i="37"/>
  <c r="G44" i="37" s="1"/>
  <c r="D45" i="37"/>
  <c r="G45" i="37" s="1"/>
  <c r="D46" i="37"/>
  <c r="G46" i="37" s="1"/>
  <c r="D47" i="37"/>
  <c r="G47" i="37" s="1"/>
  <c r="C12" i="12"/>
  <c r="E165" i="41" l="1"/>
  <c r="E166" i="41" s="1"/>
  <c r="E168" i="41" s="1"/>
  <c r="E165" i="39"/>
  <c r="E166" i="39" s="1"/>
  <c r="E168" i="39" s="1"/>
  <c r="C211" i="12"/>
  <c r="C212" i="12"/>
  <c r="C227" i="12"/>
  <c r="C53" i="12" l="1"/>
  <c r="C43" i="12" l="1"/>
  <c r="C353" i="12"/>
  <c r="E375" i="12"/>
  <c r="C376" i="12"/>
  <c r="F375" i="12"/>
  <c r="C375" i="12"/>
  <c r="C354" i="12"/>
  <c r="C355" i="12"/>
  <c r="C352" i="12"/>
  <c r="C152" i="12" l="1"/>
  <c r="C153" i="12"/>
  <c r="C91" i="12" l="1"/>
  <c r="C76" i="12"/>
  <c r="E328" i="37" l="1"/>
  <c r="E327" i="37"/>
  <c r="E326" i="37"/>
  <c r="E325" i="37"/>
  <c r="E324" i="37"/>
  <c r="E323" i="37"/>
  <c r="E322" i="37"/>
  <c r="E321" i="37"/>
  <c r="E320" i="37"/>
  <c r="E319" i="37"/>
  <c r="E318" i="37"/>
  <c r="E317" i="37"/>
  <c r="E316" i="37"/>
  <c r="E315" i="37"/>
  <c r="E314" i="37"/>
  <c r="E313" i="37"/>
  <c r="E312" i="37"/>
  <c r="E311" i="37"/>
  <c r="E310" i="37"/>
  <c r="E309" i="37"/>
  <c r="E308" i="37"/>
  <c r="E307" i="37"/>
  <c r="E306" i="37"/>
  <c r="E305" i="37"/>
  <c r="E304" i="37"/>
  <c r="E303" i="37"/>
  <c r="E302" i="37"/>
  <c r="E301" i="37"/>
  <c r="E300" i="37"/>
  <c r="E299" i="37"/>
  <c r="E297" i="37"/>
  <c r="E296" i="37"/>
  <c r="D296" i="37"/>
  <c r="G296" i="37" s="1"/>
  <c r="H296" i="37" s="1"/>
  <c r="D295" i="37"/>
  <c r="G295" i="37" s="1"/>
  <c r="H295" i="37" s="1"/>
  <c r="D294" i="37"/>
  <c r="G294" i="37" s="1"/>
  <c r="H294" i="37" s="1"/>
  <c r="D293" i="37"/>
  <c r="G293" i="37" s="1"/>
  <c r="H293" i="37" s="1"/>
  <c r="D292" i="37"/>
  <c r="G292" i="37" s="1"/>
  <c r="H292" i="37" s="1"/>
  <c r="D291" i="37"/>
  <c r="G291" i="37" s="1"/>
  <c r="H291" i="37" s="1"/>
  <c r="D290" i="37"/>
  <c r="G290" i="37" s="1"/>
  <c r="H290" i="37" s="1"/>
  <c r="H329" i="37" s="1"/>
  <c r="H271" i="37"/>
  <c r="E271" i="37"/>
  <c r="D271" i="37"/>
  <c r="G271" i="37" s="1"/>
  <c r="H270" i="37"/>
  <c r="E270" i="37"/>
  <c r="D270" i="37"/>
  <c r="G270" i="37" s="1"/>
  <c r="H269" i="37"/>
  <c r="E269" i="37"/>
  <c r="D269" i="37"/>
  <c r="G269" i="37" s="1"/>
  <c r="H268" i="37"/>
  <c r="E268" i="37"/>
  <c r="D268" i="37"/>
  <c r="G268" i="37" s="1"/>
  <c r="H267" i="37"/>
  <c r="E267" i="37"/>
  <c r="D267" i="37"/>
  <c r="G267" i="37" s="1"/>
  <c r="H266" i="37"/>
  <c r="E266" i="37"/>
  <c r="D266" i="37"/>
  <c r="G266" i="37" s="1"/>
  <c r="H265" i="37"/>
  <c r="E265" i="37"/>
  <c r="D265" i="37"/>
  <c r="G265" i="37" s="1"/>
  <c r="H264" i="37"/>
  <c r="E264" i="37"/>
  <c r="D264" i="37"/>
  <c r="G264" i="37" s="1"/>
  <c r="E263" i="37"/>
  <c r="D263" i="37"/>
  <c r="G263" i="37" s="1"/>
  <c r="H263" i="37" s="1"/>
  <c r="E262" i="37"/>
  <c r="D262" i="37"/>
  <c r="G262" i="37" s="1"/>
  <c r="H262" i="37" s="1"/>
  <c r="E261" i="37"/>
  <c r="D261" i="37"/>
  <c r="G261" i="37" s="1"/>
  <c r="H261" i="37" s="1"/>
  <c r="E260" i="37"/>
  <c r="D260" i="37"/>
  <c r="G260" i="37" s="1"/>
  <c r="H260" i="37" s="1"/>
  <c r="E259" i="37"/>
  <c r="D259" i="37"/>
  <c r="G259" i="37" s="1"/>
  <c r="H259" i="37" s="1"/>
  <c r="E258" i="37"/>
  <c r="D258" i="37"/>
  <c r="G258" i="37" s="1"/>
  <c r="H258" i="37" s="1"/>
  <c r="E257" i="37"/>
  <c r="D257" i="37"/>
  <c r="G257" i="37" s="1"/>
  <c r="H257" i="37" s="1"/>
  <c r="E256" i="37"/>
  <c r="D256" i="37"/>
  <c r="G256" i="37" s="1"/>
  <c r="H256" i="37" s="1"/>
  <c r="E255" i="37"/>
  <c r="D255" i="37"/>
  <c r="G255" i="37" s="1"/>
  <c r="H255" i="37" s="1"/>
  <c r="E254" i="37"/>
  <c r="D254" i="37"/>
  <c r="G254" i="37" s="1"/>
  <c r="H254" i="37" s="1"/>
  <c r="E253" i="37"/>
  <c r="D253" i="37"/>
  <c r="G253" i="37" s="1"/>
  <c r="H253" i="37" s="1"/>
  <c r="E252" i="37"/>
  <c r="D252" i="37"/>
  <c r="G252" i="37" s="1"/>
  <c r="H252" i="37" s="1"/>
  <c r="E251" i="37"/>
  <c r="D251" i="37"/>
  <c r="G251" i="37" s="1"/>
  <c r="H251" i="37" s="1"/>
  <c r="E250" i="37"/>
  <c r="D250" i="37"/>
  <c r="G250" i="37" s="1"/>
  <c r="H250" i="37" s="1"/>
  <c r="E249" i="37"/>
  <c r="D249" i="37"/>
  <c r="G249" i="37" s="1"/>
  <c r="H249" i="37" s="1"/>
  <c r="E248" i="37"/>
  <c r="D248" i="37"/>
  <c r="G248" i="37" s="1"/>
  <c r="H248" i="37" s="1"/>
  <c r="E247" i="37"/>
  <c r="D247" i="37"/>
  <c r="G247" i="37" s="1"/>
  <c r="H247" i="37" s="1"/>
  <c r="E246" i="37"/>
  <c r="D246" i="37"/>
  <c r="G246" i="37" s="1"/>
  <c r="H246" i="37" s="1"/>
  <c r="E245" i="37"/>
  <c r="D245" i="37"/>
  <c r="G245" i="37" s="1"/>
  <c r="H245" i="37" s="1"/>
  <c r="E244" i="37"/>
  <c r="D244" i="37"/>
  <c r="G244" i="37" s="1"/>
  <c r="H244" i="37" s="1"/>
  <c r="E243" i="37"/>
  <c r="D243" i="37"/>
  <c r="G243" i="37" s="1"/>
  <c r="H243" i="37" s="1"/>
  <c r="E242" i="37"/>
  <c r="D242" i="37"/>
  <c r="G242" i="37" s="1"/>
  <c r="H242" i="37" s="1"/>
  <c r="E241" i="37"/>
  <c r="D241" i="37"/>
  <c r="G241" i="37" s="1"/>
  <c r="H241" i="37" s="1"/>
  <c r="E240" i="37"/>
  <c r="D240" i="37"/>
  <c r="G240" i="37" s="1"/>
  <c r="H240" i="37" s="1"/>
  <c r="E239" i="37"/>
  <c r="E272" i="37" s="1"/>
  <c r="D239" i="37"/>
  <c r="G239" i="37" s="1"/>
  <c r="H239" i="37" s="1"/>
  <c r="E220" i="37"/>
  <c r="E219" i="37"/>
  <c r="E218" i="37"/>
  <c r="E217" i="37"/>
  <c r="E216" i="37"/>
  <c r="E215" i="37"/>
  <c r="E214" i="37"/>
  <c r="E213" i="37"/>
  <c r="E212" i="37"/>
  <c r="E211" i="37"/>
  <c r="E210" i="37"/>
  <c r="E209" i="37"/>
  <c r="E208" i="37"/>
  <c r="E207" i="37"/>
  <c r="E206" i="37"/>
  <c r="E205" i="37"/>
  <c r="E204" i="37"/>
  <c r="E203" i="37"/>
  <c r="E202" i="37"/>
  <c r="G191" i="37"/>
  <c r="H191" i="37" s="1"/>
  <c r="G190" i="37"/>
  <c r="H190" i="37" s="1"/>
  <c r="G189" i="37"/>
  <c r="H189" i="37" s="1"/>
  <c r="G188" i="37"/>
  <c r="H188" i="37" s="1"/>
  <c r="G187" i="37"/>
  <c r="H187" i="37" s="1"/>
  <c r="D186" i="37"/>
  <c r="G186" i="37" s="1"/>
  <c r="H186" i="37" s="1"/>
  <c r="D185" i="37"/>
  <c r="G185" i="37" s="1"/>
  <c r="H185" i="37" s="1"/>
  <c r="D184" i="37"/>
  <c r="G184" i="37" s="1"/>
  <c r="H184" i="37" s="1"/>
  <c r="D182" i="37"/>
  <c r="G182" i="37" s="1"/>
  <c r="H182" i="37" s="1"/>
  <c r="E163" i="37"/>
  <c r="E161" i="37"/>
  <c r="E160" i="37"/>
  <c r="E159" i="37"/>
  <c r="E158" i="37"/>
  <c r="E157" i="37"/>
  <c r="E156" i="37"/>
  <c r="E155" i="37"/>
  <c r="E154" i="37"/>
  <c r="E153" i="37"/>
  <c r="H151" i="37"/>
  <c r="H150" i="37"/>
  <c r="H149" i="37"/>
  <c r="H148" i="37"/>
  <c r="H147" i="37"/>
  <c r="H146" i="37"/>
  <c r="H145" i="37"/>
  <c r="H144" i="37"/>
  <c r="H143" i="37"/>
  <c r="H142" i="37"/>
  <c r="H141" i="37"/>
  <c r="H140" i="37"/>
  <c r="H139" i="37"/>
  <c r="H138" i="37"/>
  <c r="G137" i="37"/>
  <c r="H137" i="37" s="1"/>
  <c r="G136" i="37"/>
  <c r="H136" i="37" s="1"/>
  <c r="D135" i="37"/>
  <c r="G135" i="37" s="1"/>
  <c r="H135" i="37" s="1"/>
  <c r="D134" i="37"/>
  <c r="G134" i="37" s="1"/>
  <c r="H134" i="37" s="1"/>
  <c r="E133" i="37"/>
  <c r="D133" i="37"/>
  <c r="G133" i="37" s="1"/>
  <c r="H133" i="37" s="1"/>
  <c r="D132" i="37"/>
  <c r="G132" i="37" s="1"/>
  <c r="H132" i="37" s="1"/>
  <c r="D131" i="37"/>
  <c r="G131" i="37" s="1"/>
  <c r="H131" i="37" s="1"/>
  <c r="D130" i="37"/>
  <c r="G130" i="37" s="1"/>
  <c r="H130" i="37" s="1"/>
  <c r="E129" i="37"/>
  <c r="D129" i="37"/>
  <c r="G129" i="37" s="1"/>
  <c r="H129" i="37" s="1"/>
  <c r="D128" i="37"/>
  <c r="G128" i="37" s="1"/>
  <c r="H128" i="37" s="1"/>
  <c r="D127" i="37"/>
  <c r="G127" i="37" s="1"/>
  <c r="H127" i="37" s="1"/>
  <c r="D126" i="37"/>
  <c r="G126" i="37" s="1"/>
  <c r="H126" i="37" s="1"/>
  <c r="D124" i="37"/>
  <c r="G124" i="37" s="1"/>
  <c r="H124" i="37" s="1"/>
  <c r="H105" i="37"/>
  <c r="E105" i="37"/>
  <c r="D105" i="37"/>
  <c r="G105" i="37" s="1"/>
  <c r="E104" i="37"/>
  <c r="D104" i="37"/>
  <c r="G104" i="37" s="1"/>
  <c r="E103" i="37"/>
  <c r="D103" i="37"/>
  <c r="G103" i="37" s="1"/>
  <c r="H102" i="37"/>
  <c r="E102" i="37"/>
  <c r="D102" i="37"/>
  <c r="G102" i="37" s="1"/>
  <c r="H101" i="37"/>
  <c r="E101" i="37"/>
  <c r="D101" i="37"/>
  <c r="G101" i="37" s="1"/>
  <c r="H100" i="37"/>
  <c r="E100" i="37"/>
  <c r="D100" i="37"/>
  <c r="G100" i="37" s="1"/>
  <c r="H99" i="37"/>
  <c r="E99" i="37"/>
  <c r="D99" i="37"/>
  <c r="G99" i="37" s="1"/>
  <c r="H98" i="37"/>
  <c r="E98" i="37"/>
  <c r="D98" i="37"/>
  <c r="G98" i="37" s="1"/>
  <c r="H97" i="37"/>
  <c r="E97" i="37"/>
  <c r="D97" i="37"/>
  <c r="G97" i="37" s="1"/>
  <c r="H96" i="37"/>
  <c r="E96" i="37"/>
  <c r="D96" i="37"/>
  <c r="G96" i="37" s="1"/>
  <c r="H95" i="37"/>
  <c r="E95" i="37"/>
  <c r="D95" i="37"/>
  <c r="G95" i="37" s="1"/>
  <c r="H94" i="37"/>
  <c r="E94" i="37"/>
  <c r="D94" i="37"/>
  <c r="G94" i="37" s="1"/>
  <c r="H93" i="37"/>
  <c r="E93" i="37"/>
  <c r="D93" i="37"/>
  <c r="G93" i="37" s="1"/>
  <c r="H92" i="37"/>
  <c r="E92" i="37"/>
  <c r="D92" i="37"/>
  <c r="G92" i="37" s="1"/>
  <c r="H91" i="37"/>
  <c r="E91" i="37"/>
  <c r="D91" i="37"/>
  <c r="G91" i="37" s="1"/>
  <c r="H90" i="37"/>
  <c r="E90" i="37"/>
  <c r="D90" i="37"/>
  <c r="G90" i="37" s="1"/>
  <c r="H89" i="37"/>
  <c r="E89" i="37"/>
  <c r="D89" i="37"/>
  <c r="G89" i="37" s="1"/>
  <c r="H88" i="37"/>
  <c r="E88" i="37"/>
  <c r="D88" i="37"/>
  <c r="G88" i="37" s="1"/>
  <c r="H87" i="37"/>
  <c r="E87" i="37"/>
  <c r="D87" i="37"/>
  <c r="G87" i="37" s="1"/>
  <c r="E86" i="37"/>
  <c r="D86" i="37"/>
  <c r="G86" i="37" s="1"/>
  <c r="H86" i="37" s="1"/>
  <c r="E85" i="37"/>
  <c r="D85" i="37"/>
  <c r="G85" i="37" s="1"/>
  <c r="H85" i="37" s="1"/>
  <c r="D84" i="37"/>
  <c r="G84" i="37" s="1"/>
  <c r="H84" i="37" s="1"/>
  <c r="D83" i="37"/>
  <c r="G83" i="37" s="1"/>
  <c r="H83" i="37" s="1"/>
  <c r="D82" i="37"/>
  <c r="G82" i="37" s="1"/>
  <c r="H82" i="37" s="1"/>
  <c r="D81" i="37"/>
  <c r="G81" i="37" s="1"/>
  <c r="H81" i="37" s="1"/>
  <c r="D80" i="37"/>
  <c r="G80" i="37" s="1"/>
  <c r="H80" i="37" s="1"/>
  <c r="D79" i="37"/>
  <c r="G79" i="37" s="1"/>
  <c r="H79" i="37" s="1"/>
  <c r="D78" i="37"/>
  <c r="G78" i="37" s="1"/>
  <c r="H78" i="37" s="1"/>
  <c r="D77" i="37"/>
  <c r="G77" i="37" s="1"/>
  <c r="H77" i="37" s="1"/>
  <c r="D76" i="37"/>
  <c r="G76" i="37" s="1"/>
  <c r="H76" i="37" s="1"/>
  <c r="D75" i="37"/>
  <c r="G75" i="37" s="1"/>
  <c r="H75" i="37" s="1"/>
  <c r="D74" i="37"/>
  <c r="G74" i="37" s="1"/>
  <c r="H74" i="37" s="1"/>
  <c r="D73" i="37"/>
  <c r="G73" i="37" s="1"/>
  <c r="H73" i="37" s="1"/>
  <c r="D72" i="37"/>
  <c r="G72" i="37" s="1"/>
  <c r="H72" i="37" s="1"/>
  <c r="D71" i="37"/>
  <c r="G71" i="37" s="1"/>
  <c r="H71" i="37" s="1"/>
  <c r="D70" i="37"/>
  <c r="G70" i="37" s="1"/>
  <c r="H70" i="37" s="1"/>
  <c r="E69" i="37"/>
  <c r="D69" i="37"/>
  <c r="G69" i="37" s="1"/>
  <c r="H69" i="37" s="1"/>
  <c r="D65" i="37"/>
  <c r="G65" i="37" s="1"/>
  <c r="H65" i="37" s="1"/>
  <c r="E47" i="37"/>
  <c r="E46" i="37"/>
  <c r="E45" i="37"/>
  <c r="E44" i="37"/>
  <c r="E43" i="37"/>
  <c r="E42" i="37"/>
  <c r="E41" i="37"/>
  <c r="E40" i="37"/>
  <c r="E39" i="37"/>
  <c r="E38" i="37"/>
  <c r="E37" i="37"/>
  <c r="E36" i="37"/>
  <c r="E31" i="37"/>
  <c r="E30" i="37"/>
  <c r="E29" i="37"/>
  <c r="E28" i="37"/>
  <c r="E27" i="37"/>
  <c r="E26" i="37"/>
  <c r="E25" i="37"/>
  <c r="E24" i="37"/>
  <c r="H22" i="37"/>
  <c r="H21" i="37"/>
  <c r="H20" i="37"/>
  <c r="H19" i="37"/>
  <c r="H18" i="37"/>
  <c r="D17" i="37"/>
  <c r="G17" i="37" s="1"/>
  <c r="H17" i="37" s="1"/>
  <c r="D16" i="37"/>
  <c r="G16" i="37" s="1"/>
  <c r="H16" i="37" s="1"/>
  <c r="D15" i="37"/>
  <c r="G15" i="37" s="1"/>
  <c r="H15" i="37" s="1"/>
  <c r="D14" i="37"/>
  <c r="G14" i="37" s="1"/>
  <c r="H14" i="37" s="1"/>
  <c r="D13" i="37"/>
  <c r="G13" i="37" s="1"/>
  <c r="H13" i="37" s="1"/>
  <c r="D12" i="37"/>
  <c r="G12" i="37" s="1"/>
  <c r="H12" i="37" s="1"/>
  <c r="D11" i="37"/>
  <c r="G11" i="37" s="1"/>
  <c r="H11" i="37" s="1"/>
  <c r="D10" i="37"/>
  <c r="G10" i="37" s="1"/>
  <c r="H10" i="37" s="1"/>
  <c r="H272" i="37" l="1"/>
  <c r="E10" i="37"/>
  <c r="E11" i="37"/>
  <c r="E12" i="37"/>
  <c r="E13" i="37"/>
  <c r="E14" i="37"/>
  <c r="E15" i="37"/>
  <c r="E16" i="37"/>
  <c r="E17" i="37"/>
  <c r="E65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124" i="37"/>
  <c r="E126" i="37"/>
  <c r="E127" i="37"/>
  <c r="E128" i="37"/>
  <c r="E130" i="37"/>
  <c r="E131" i="37"/>
  <c r="E132" i="37"/>
  <c r="E134" i="37"/>
  <c r="E135" i="37"/>
  <c r="E136" i="37"/>
  <c r="E137" i="37"/>
  <c r="E182" i="37"/>
  <c r="E184" i="37"/>
  <c r="E185" i="37"/>
  <c r="E186" i="37"/>
  <c r="E273" i="37"/>
  <c r="E274" i="37" s="1"/>
  <c r="E276" i="37" s="1"/>
  <c r="H273" i="37"/>
  <c r="H274" i="37" s="1"/>
  <c r="H276" i="37" s="1"/>
  <c r="H330" i="37"/>
  <c r="H331" i="37" s="1"/>
  <c r="H333" i="37" s="1"/>
  <c r="E290" i="37"/>
  <c r="E291" i="37"/>
  <c r="E292" i="37"/>
  <c r="E293" i="37"/>
  <c r="E294" i="37"/>
  <c r="E295" i="37"/>
  <c r="E329" i="37" l="1"/>
  <c r="E330" i="37"/>
  <c r="E331" i="37" s="1"/>
  <c r="E333" i="37" s="1"/>
  <c r="C383" i="12" l="1"/>
  <c r="C382" i="12"/>
  <c r="C381" i="12"/>
  <c r="C380" i="12"/>
  <c r="C379" i="12"/>
  <c r="C378" i="12"/>
  <c r="C377" i="12"/>
  <c r="C374" i="12"/>
  <c r="C373" i="12"/>
  <c r="C372" i="12"/>
  <c r="C371" i="12"/>
  <c r="C370" i="12"/>
  <c r="C369" i="12"/>
  <c r="C368" i="12"/>
  <c r="C367" i="12"/>
  <c r="C366" i="12"/>
  <c r="C365" i="12"/>
  <c r="C363" i="12"/>
  <c r="C362" i="12"/>
  <c r="C361" i="12"/>
  <c r="C360" i="12"/>
  <c r="C357" i="12"/>
  <c r="C356" i="12"/>
  <c r="C351" i="12"/>
  <c r="C349" i="12"/>
  <c r="C348" i="12"/>
  <c r="C340" i="12"/>
  <c r="C339" i="12"/>
  <c r="C338" i="12"/>
  <c r="C337" i="12"/>
  <c r="C336" i="12"/>
  <c r="C335" i="12"/>
  <c r="C334" i="12"/>
  <c r="C333" i="12"/>
  <c r="C331" i="12"/>
  <c r="C330" i="12"/>
  <c r="C329" i="12"/>
  <c r="C328" i="12"/>
  <c r="C326" i="12"/>
  <c r="C325" i="12"/>
  <c r="C324" i="12"/>
  <c r="C323" i="12"/>
  <c r="C322" i="12"/>
  <c r="C321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3" i="12"/>
  <c r="C290" i="12"/>
  <c r="C286" i="12"/>
  <c r="C285" i="12"/>
  <c r="C284" i="12"/>
  <c r="C277" i="12"/>
  <c r="C273" i="12"/>
  <c r="C272" i="12"/>
  <c r="C271" i="12"/>
  <c r="C269" i="12"/>
  <c r="C267" i="12"/>
  <c r="C266" i="12"/>
  <c r="C265" i="12"/>
  <c r="C263" i="12"/>
  <c r="C255" i="12"/>
  <c r="C254" i="12"/>
  <c r="C253" i="12"/>
  <c r="C252" i="12"/>
  <c r="C251" i="12"/>
  <c r="C248" i="12"/>
  <c r="C247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6" i="12"/>
  <c r="C225" i="12"/>
  <c r="C223" i="12"/>
  <c r="C222" i="12"/>
  <c r="C221" i="12"/>
  <c r="C220" i="12"/>
  <c r="C219" i="12"/>
  <c r="C218" i="12"/>
  <c r="C217" i="12"/>
  <c r="C216" i="12"/>
  <c r="C214" i="12"/>
  <c r="C213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2" i="12"/>
  <c r="C162" i="12"/>
  <c r="C161" i="12"/>
  <c r="C144" i="12"/>
  <c r="C143" i="12"/>
  <c r="C140" i="12"/>
  <c r="C139" i="12"/>
  <c r="C137" i="12"/>
  <c r="C136" i="12"/>
  <c r="C134" i="12"/>
  <c r="C133" i="12"/>
  <c r="C132" i="12"/>
  <c r="C131" i="12"/>
  <c r="C130" i="12"/>
  <c r="C129" i="12"/>
  <c r="C128" i="12"/>
  <c r="C126" i="12"/>
  <c r="C125" i="12"/>
  <c r="C124" i="12"/>
  <c r="C123" i="12"/>
  <c r="C122" i="12"/>
  <c r="C121" i="12"/>
  <c r="C120" i="12"/>
  <c r="C119" i="12"/>
  <c r="C118" i="12"/>
  <c r="C117" i="12"/>
  <c r="C116" i="12"/>
  <c r="C114" i="12"/>
  <c r="C113" i="12"/>
  <c r="C111" i="12"/>
  <c r="C110" i="12"/>
  <c r="C109" i="12"/>
  <c r="C108" i="12"/>
  <c r="C107" i="12"/>
  <c r="C106" i="12"/>
  <c r="C105" i="12"/>
  <c r="C104" i="12"/>
  <c r="C102" i="12"/>
  <c r="C101" i="12"/>
  <c r="C100" i="12"/>
  <c r="C99" i="12"/>
  <c r="C98" i="12"/>
  <c r="C97" i="12"/>
  <c r="C96" i="12"/>
  <c r="C95" i="12"/>
  <c r="C94" i="12"/>
  <c r="C93" i="12"/>
  <c r="C92" i="12"/>
  <c r="C88" i="12"/>
  <c r="C87" i="12"/>
  <c r="C86" i="12"/>
  <c r="C85" i="12"/>
  <c r="C84" i="12"/>
  <c r="C83" i="12"/>
  <c r="C81" i="12"/>
  <c r="C80" i="12"/>
  <c r="C79" i="12"/>
  <c r="C78" i="12"/>
  <c r="C77" i="12"/>
  <c r="C64" i="12"/>
  <c r="C63" i="12"/>
  <c r="C62" i="12"/>
  <c r="C61" i="12"/>
  <c r="C60" i="12"/>
  <c r="C59" i="12"/>
  <c r="C50" i="12"/>
  <c r="C49" i="12"/>
  <c r="C48" i="12"/>
  <c r="C47" i="12"/>
  <c r="C46" i="12"/>
  <c r="C45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16" i="12"/>
  <c r="C14" i="12"/>
  <c r="C13" i="12"/>
  <c r="C11" i="12"/>
  <c r="C10" i="12"/>
  <c r="C9" i="12"/>
  <c r="C8" i="12"/>
  <c r="C7" i="12"/>
  <c r="C6" i="12"/>
  <c r="C5" i="12"/>
  <c r="C4" i="12"/>
  <c r="C3" i="12"/>
  <c r="E29" i="12" l="1"/>
  <c r="F29" i="12"/>
  <c r="E96" i="12" l="1"/>
  <c r="F96" i="12"/>
  <c r="E4" i="12" l="1"/>
  <c r="F4" i="12"/>
  <c r="E5" i="12"/>
  <c r="F5" i="12"/>
  <c r="E6" i="12"/>
  <c r="F6" i="12"/>
  <c r="E7" i="12"/>
  <c r="F7" i="12"/>
  <c r="E8" i="12"/>
  <c r="F8" i="12"/>
  <c r="E9" i="12"/>
  <c r="F9" i="12"/>
  <c r="E10" i="12"/>
  <c r="F10" i="12"/>
  <c r="E11" i="12"/>
  <c r="F11" i="12"/>
  <c r="E12" i="12"/>
  <c r="F12" i="12"/>
  <c r="E13" i="12"/>
  <c r="F13" i="12"/>
  <c r="E14" i="12"/>
  <c r="F14" i="12"/>
  <c r="E15" i="12"/>
  <c r="F15" i="12"/>
  <c r="E16" i="12"/>
  <c r="F16" i="12"/>
  <c r="E17" i="12"/>
  <c r="F17" i="12"/>
  <c r="E18" i="12"/>
  <c r="F18" i="12"/>
  <c r="E19" i="12"/>
  <c r="F19" i="12"/>
  <c r="E20" i="12"/>
  <c r="F20" i="12"/>
  <c r="E21" i="12"/>
  <c r="F21" i="12"/>
  <c r="E22" i="12"/>
  <c r="F22" i="12"/>
  <c r="E23" i="12"/>
  <c r="F23" i="12"/>
  <c r="E24" i="12"/>
  <c r="F24" i="12"/>
  <c r="E25" i="12"/>
  <c r="F25" i="12"/>
  <c r="E26" i="12"/>
  <c r="F26" i="12"/>
  <c r="E27" i="12"/>
  <c r="F27" i="12"/>
  <c r="E28" i="12"/>
  <c r="F28" i="12"/>
  <c r="E30" i="12"/>
  <c r="F30" i="12"/>
  <c r="E31" i="12"/>
  <c r="F31" i="12"/>
  <c r="E32" i="12"/>
  <c r="F32" i="12"/>
  <c r="E33" i="12"/>
  <c r="F33" i="12"/>
  <c r="E34" i="12"/>
  <c r="F34" i="12"/>
  <c r="E35" i="12"/>
  <c r="F35" i="12"/>
  <c r="E36" i="12"/>
  <c r="F36" i="12"/>
  <c r="E37" i="12"/>
  <c r="F37" i="12"/>
  <c r="E38" i="12"/>
  <c r="F38" i="12"/>
  <c r="E39" i="12"/>
  <c r="F39" i="12"/>
  <c r="E40" i="12"/>
  <c r="F40" i="12"/>
  <c r="E41" i="12"/>
  <c r="F41" i="12"/>
  <c r="E42" i="12"/>
  <c r="F42" i="12"/>
  <c r="E43" i="12"/>
  <c r="F43" i="12"/>
  <c r="E44" i="12"/>
  <c r="F44" i="12"/>
  <c r="E45" i="12"/>
  <c r="F45" i="12"/>
  <c r="E46" i="12"/>
  <c r="F46" i="12"/>
  <c r="E47" i="12"/>
  <c r="F47" i="12"/>
  <c r="E48" i="12"/>
  <c r="F48" i="12"/>
  <c r="E49" i="12"/>
  <c r="F49" i="12"/>
  <c r="E50" i="12"/>
  <c r="F50" i="12"/>
  <c r="E51" i="12"/>
  <c r="F51" i="12"/>
  <c r="E52" i="12"/>
  <c r="F52" i="12"/>
  <c r="E53" i="12"/>
  <c r="F53" i="12"/>
  <c r="E54" i="12"/>
  <c r="F54" i="12"/>
  <c r="E55" i="12"/>
  <c r="F55" i="12"/>
  <c r="E56" i="12"/>
  <c r="F56" i="12"/>
  <c r="E57" i="12"/>
  <c r="F57" i="12"/>
  <c r="E58" i="12"/>
  <c r="F58" i="12"/>
  <c r="E59" i="12"/>
  <c r="F59" i="12"/>
  <c r="E60" i="12"/>
  <c r="F60" i="12"/>
  <c r="E61" i="12"/>
  <c r="F61" i="12"/>
  <c r="E62" i="12"/>
  <c r="F62" i="12"/>
  <c r="E63" i="12"/>
  <c r="F63" i="12"/>
  <c r="E64" i="12"/>
  <c r="F64" i="12"/>
  <c r="E65" i="12"/>
  <c r="F65" i="12"/>
  <c r="E66" i="12"/>
  <c r="F66" i="12"/>
  <c r="E67" i="12"/>
  <c r="F67" i="12"/>
  <c r="E68" i="12"/>
  <c r="F68" i="12"/>
  <c r="E69" i="12"/>
  <c r="F69" i="12"/>
  <c r="E70" i="12"/>
  <c r="F70" i="12"/>
  <c r="E71" i="12"/>
  <c r="F71" i="12"/>
  <c r="E72" i="12"/>
  <c r="F72" i="12"/>
  <c r="E73" i="12"/>
  <c r="F73" i="12"/>
  <c r="E74" i="12"/>
  <c r="F74" i="12"/>
  <c r="E75" i="12"/>
  <c r="F75" i="12"/>
  <c r="E76" i="12"/>
  <c r="F76" i="12"/>
  <c r="E77" i="12"/>
  <c r="F77" i="12"/>
  <c r="E78" i="12"/>
  <c r="F78" i="12"/>
  <c r="E79" i="12"/>
  <c r="F79" i="12"/>
  <c r="E80" i="12"/>
  <c r="F80" i="12"/>
  <c r="E81" i="12"/>
  <c r="F81" i="12"/>
  <c r="E82" i="12"/>
  <c r="F82" i="12"/>
  <c r="E83" i="12"/>
  <c r="F83" i="12"/>
  <c r="E84" i="12"/>
  <c r="F84" i="12"/>
  <c r="E85" i="12"/>
  <c r="F85" i="12"/>
  <c r="E86" i="12"/>
  <c r="F86" i="12"/>
  <c r="E87" i="12"/>
  <c r="F87" i="12"/>
  <c r="E88" i="12"/>
  <c r="F88" i="12"/>
  <c r="E89" i="12"/>
  <c r="F89" i="12"/>
  <c r="E90" i="12"/>
  <c r="F90" i="12"/>
  <c r="E91" i="12"/>
  <c r="F91" i="12"/>
  <c r="E92" i="12"/>
  <c r="F92" i="12"/>
  <c r="E93" i="12"/>
  <c r="F93" i="12"/>
  <c r="E94" i="12"/>
  <c r="F94" i="12"/>
  <c r="E95" i="12"/>
  <c r="F95" i="12"/>
  <c r="E97" i="12"/>
  <c r="F97" i="12"/>
  <c r="E98" i="12"/>
  <c r="F98" i="12"/>
  <c r="E99" i="12"/>
  <c r="F99" i="12"/>
  <c r="E100" i="12"/>
  <c r="F100" i="12"/>
  <c r="E101" i="12"/>
  <c r="F101" i="12"/>
  <c r="E102" i="12"/>
  <c r="F102" i="12"/>
  <c r="E103" i="12"/>
  <c r="F103" i="12"/>
  <c r="E104" i="12"/>
  <c r="F104" i="12"/>
  <c r="E105" i="12"/>
  <c r="F105" i="12"/>
  <c r="E106" i="12"/>
  <c r="F106" i="12"/>
  <c r="E107" i="12"/>
  <c r="F107" i="12"/>
  <c r="E108" i="12"/>
  <c r="F108" i="12"/>
  <c r="E109" i="12"/>
  <c r="F109" i="12"/>
  <c r="E110" i="12"/>
  <c r="F110" i="12"/>
  <c r="E111" i="12"/>
  <c r="F111" i="12"/>
  <c r="E112" i="12"/>
  <c r="F112" i="12"/>
  <c r="E113" i="12"/>
  <c r="F113" i="12"/>
  <c r="E114" i="12"/>
  <c r="F114" i="12"/>
  <c r="E115" i="12"/>
  <c r="F115" i="12"/>
  <c r="E116" i="12"/>
  <c r="F116" i="12"/>
  <c r="E117" i="12"/>
  <c r="F117" i="12"/>
  <c r="E118" i="12"/>
  <c r="F118" i="12"/>
  <c r="E119" i="12"/>
  <c r="F119" i="12"/>
  <c r="E120" i="12"/>
  <c r="F120" i="12"/>
  <c r="E121" i="12"/>
  <c r="F121" i="12"/>
  <c r="E122" i="12"/>
  <c r="F122" i="12"/>
  <c r="E123" i="12"/>
  <c r="F123" i="12"/>
  <c r="E124" i="12"/>
  <c r="F124" i="12"/>
  <c r="E125" i="12"/>
  <c r="F125" i="12"/>
  <c r="E126" i="12"/>
  <c r="F126" i="12"/>
  <c r="E127" i="12"/>
  <c r="F127" i="12"/>
  <c r="E128" i="12"/>
  <c r="F128" i="12"/>
  <c r="E129" i="12"/>
  <c r="F129" i="12"/>
  <c r="E130" i="12"/>
  <c r="F130" i="12"/>
  <c r="E131" i="12"/>
  <c r="F131" i="12"/>
  <c r="E132" i="12"/>
  <c r="F132" i="12"/>
  <c r="E133" i="12"/>
  <c r="F133" i="12"/>
  <c r="E134" i="12"/>
  <c r="F134" i="12"/>
  <c r="E135" i="12"/>
  <c r="F135" i="12"/>
  <c r="E136" i="12"/>
  <c r="F136" i="12"/>
  <c r="E137" i="12"/>
  <c r="F137" i="12"/>
  <c r="E138" i="12"/>
  <c r="F138" i="12"/>
  <c r="E139" i="12"/>
  <c r="F139" i="12"/>
  <c r="E140" i="12"/>
  <c r="F140" i="12"/>
  <c r="E141" i="12"/>
  <c r="F141" i="12"/>
  <c r="E142" i="12"/>
  <c r="F142" i="12"/>
  <c r="E143" i="12"/>
  <c r="F143" i="12"/>
  <c r="E144" i="12"/>
  <c r="F144" i="12"/>
  <c r="E145" i="12"/>
  <c r="F145" i="12"/>
  <c r="E146" i="12"/>
  <c r="F146" i="12"/>
  <c r="E147" i="12"/>
  <c r="F147" i="12"/>
  <c r="E148" i="12"/>
  <c r="F148" i="12"/>
  <c r="E149" i="12"/>
  <c r="F149" i="12"/>
  <c r="E150" i="12"/>
  <c r="F150" i="12"/>
  <c r="E151" i="12"/>
  <c r="F151" i="12"/>
  <c r="E152" i="12"/>
  <c r="F152" i="12"/>
  <c r="E153" i="12"/>
  <c r="F153" i="12"/>
  <c r="E154" i="12"/>
  <c r="F154" i="12"/>
  <c r="E155" i="12"/>
  <c r="F155" i="12"/>
  <c r="E156" i="12"/>
  <c r="F156" i="12"/>
  <c r="E157" i="12"/>
  <c r="F157" i="12"/>
  <c r="E158" i="12"/>
  <c r="F158" i="12"/>
  <c r="E159" i="12"/>
  <c r="F159" i="12"/>
  <c r="E160" i="12"/>
  <c r="F160" i="12"/>
  <c r="E161" i="12"/>
  <c r="F161" i="12"/>
  <c r="E162" i="12"/>
  <c r="F162" i="12"/>
  <c r="E163" i="12"/>
  <c r="F163" i="12"/>
  <c r="E164" i="12"/>
  <c r="F164" i="12"/>
  <c r="E165" i="12"/>
  <c r="F165" i="12"/>
  <c r="E166" i="12"/>
  <c r="F166" i="12"/>
  <c r="E167" i="12"/>
  <c r="F167" i="12"/>
  <c r="E168" i="12"/>
  <c r="F168" i="12"/>
  <c r="E169" i="12"/>
  <c r="F169" i="12"/>
  <c r="E170" i="12"/>
  <c r="F170" i="12"/>
  <c r="E171" i="12"/>
  <c r="F171" i="12"/>
  <c r="E172" i="12"/>
  <c r="F172" i="12"/>
  <c r="E173" i="12"/>
  <c r="F173" i="12"/>
  <c r="E174" i="12"/>
  <c r="F174" i="12"/>
  <c r="E175" i="12"/>
  <c r="F175" i="12"/>
  <c r="E176" i="12"/>
  <c r="F176" i="12"/>
  <c r="E177" i="12"/>
  <c r="F177" i="12"/>
  <c r="E178" i="12"/>
  <c r="F178" i="12"/>
  <c r="E179" i="12"/>
  <c r="F179" i="12"/>
  <c r="E180" i="12"/>
  <c r="F180" i="12"/>
  <c r="E181" i="12"/>
  <c r="F181" i="12"/>
  <c r="E182" i="12"/>
  <c r="F182" i="12"/>
  <c r="E183" i="12"/>
  <c r="F183" i="12"/>
  <c r="E184" i="12"/>
  <c r="F184" i="12"/>
  <c r="E185" i="12"/>
  <c r="F185" i="12"/>
  <c r="E186" i="12"/>
  <c r="F186" i="12"/>
  <c r="E187" i="12"/>
  <c r="F187" i="12"/>
  <c r="E188" i="12"/>
  <c r="F188" i="12"/>
  <c r="E189" i="12"/>
  <c r="F189" i="12"/>
  <c r="E190" i="12"/>
  <c r="F190" i="12"/>
  <c r="E191" i="12"/>
  <c r="F191" i="12"/>
  <c r="E192" i="12"/>
  <c r="F192" i="12"/>
  <c r="E193" i="12"/>
  <c r="F193" i="12"/>
  <c r="E194" i="12"/>
  <c r="F194" i="12"/>
  <c r="E195" i="12"/>
  <c r="F195" i="12"/>
  <c r="E196" i="12"/>
  <c r="F196" i="12"/>
  <c r="E197" i="12"/>
  <c r="F197" i="12"/>
  <c r="E198" i="12"/>
  <c r="F198" i="12"/>
  <c r="E199" i="12"/>
  <c r="F199" i="12"/>
  <c r="E200" i="12"/>
  <c r="F200" i="12"/>
  <c r="E201" i="12"/>
  <c r="F201" i="12"/>
  <c r="E202" i="12"/>
  <c r="F202" i="12"/>
  <c r="E203" i="12"/>
  <c r="F203" i="12"/>
  <c r="E204" i="12"/>
  <c r="F204" i="12"/>
  <c r="E205" i="12"/>
  <c r="F205" i="12"/>
  <c r="E206" i="12"/>
  <c r="F206" i="12"/>
  <c r="E207" i="12"/>
  <c r="F207" i="12"/>
  <c r="E208" i="12"/>
  <c r="F208" i="12"/>
  <c r="E209" i="12"/>
  <c r="F209" i="12"/>
  <c r="E210" i="12"/>
  <c r="F210" i="12"/>
  <c r="E211" i="12"/>
  <c r="F211" i="12"/>
  <c r="E212" i="12"/>
  <c r="F212" i="12"/>
  <c r="E213" i="12"/>
  <c r="F213" i="12"/>
  <c r="E214" i="12"/>
  <c r="F214" i="12"/>
  <c r="E215" i="12"/>
  <c r="F215" i="12"/>
  <c r="E216" i="12"/>
  <c r="F216" i="12"/>
  <c r="E217" i="12"/>
  <c r="F217" i="12"/>
  <c r="E218" i="12"/>
  <c r="F218" i="12"/>
  <c r="E219" i="12"/>
  <c r="F219" i="12"/>
  <c r="E220" i="12"/>
  <c r="F220" i="12"/>
  <c r="E221" i="12"/>
  <c r="F221" i="12"/>
  <c r="E222" i="12"/>
  <c r="F222" i="12"/>
  <c r="E223" i="12"/>
  <c r="F223" i="12"/>
  <c r="E224" i="12"/>
  <c r="F224" i="12"/>
  <c r="E225" i="12"/>
  <c r="F225" i="12"/>
  <c r="E226" i="12"/>
  <c r="F226" i="12"/>
  <c r="E227" i="12"/>
  <c r="F227" i="12"/>
  <c r="E228" i="12"/>
  <c r="F228" i="12"/>
  <c r="E229" i="12"/>
  <c r="F229" i="12"/>
  <c r="E230" i="12"/>
  <c r="F230" i="12"/>
  <c r="E231" i="12"/>
  <c r="F231" i="12"/>
  <c r="E232" i="12"/>
  <c r="F232" i="12"/>
  <c r="E233" i="12"/>
  <c r="F233" i="12"/>
  <c r="E234" i="12"/>
  <c r="F234" i="12"/>
  <c r="E235" i="12"/>
  <c r="F235" i="12"/>
  <c r="E236" i="12"/>
  <c r="F236" i="12"/>
  <c r="E237" i="12"/>
  <c r="F237" i="12"/>
  <c r="E238" i="12"/>
  <c r="F238" i="12"/>
  <c r="E239" i="12"/>
  <c r="F239" i="12"/>
  <c r="E240" i="12"/>
  <c r="F240" i="12"/>
  <c r="E241" i="12"/>
  <c r="F241" i="12"/>
  <c r="E242" i="12"/>
  <c r="F242" i="12"/>
  <c r="E243" i="12"/>
  <c r="F243" i="12"/>
  <c r="E244" i="12"/>
  <c r="F244" i="12"/>
  <c r="E245" i="12"/>
  <c r="F245" i="12"/>
  <c r="E246" i="12"/>
  <c r="F246" i="12"/>
  <c r="E247" i="12"/>
  <c r="F247" i="12"/>
  <c r="E248" i="12"/>
  <c r="F248" i="12"/>
  <c r="E249" i="12"/>
  <c r="F249" i="12"/>
  <c r="E250" i="12"/>
  <c r="F250" i="12"/>
  <c r="E251" i="12"/>
  <c r="F251" i="12"/>
  <c r="E252" i="12"/>
  <c r="F252" i="12"/>
  <c r="E253" i="12"/>
  <c r="F253" i="12"/>
  <c r="E254" i="12"/>
  <c r="F254" i="12"/>
  <c r="E255" i="12"/>
  <c r="F255" i="12"/>
  <c r="E256" i="12"/>
  <c r="F256" i="12"/>
  <c r="E257" i="12"/>
  <c r="F257" i="12"/>
  <c r="E258" i="12"/>
  <c r="F258" i="12"/>
  <c r="E259" i="12"/>
  <c r="F259" i="12"/>
  <c r="E260" i="12"/>
  <c r="F260" i="12"/>
  <c r="E261" i="12"/>
  <c r="F261" i="12"/>
  <c r="E262" i="12"/>
  <c r="F262" i="12"/>
  <c r="E263" i="12"/>
  <c r="F263" i="12"/>
  <c r="E264" i="12"/>
  <c r="F264" i="12"/>
  <c r="E265" i="12"/>
  <c r="F265" i="12"/>
  <c r="E266" i="12"/>
  <c r="F266" i="12"/>
  <c r="E267" i="12"/>
  <c r="F267" i="12"/>
  <c r="E268" i="12"/>
  <c r="F268" i="12"/>
  <c r="E269" i="12"/>
  <c r="F269" i="12"/>
  <c r="E270" i="12"/>
  <c r="F270" i="12"/>
  <c r="E271" i="12"/>
  <c r="F271" i="12"/>
  <c r="E272" i="12"/>
  <c r="F272" i="12"/>
  <c r="E273" i="12"/>
  <c r="F273" i="12"/>
  <c r="E274" i="12"/>
  <c r="F274" i="12"/>
  <c r="E275" i="12"/>
  <c r="F275" i="12"/>
  <c r="E276" i="12"/>
  <c r="F276" i="12"/>
  <c r="E277" i="12"/>
  <c r="F277" i="12"/>
  <c r="E278" i="12"/>
  <c r="F278" i="12"/>
  <c r="E279" i="12"/>
  <c r="F279" i="12"/>
  <c r="E280" i="12"/>
  <c r="F280" i="12"/>
  <c r="E281" i="12"/>
  <c r="F281" i="12"/>
  <c r="E282" i="12"/>
  <c r="F282" i="12"/>
  <c r="E283" i="12"/>
  <c r="F283" i="12"/>
  <c r="E284" i="12"/>
  <c r="F284" i="12"/>
  <c r="E285" i="12"/>
  <c r="F285" i="12"/>
  <c r="E286" i="12"/>
  <c r="F286" i="12"/>
  <c r="E287" i="12"/>
  <c r="F287" i="12"/>
  <c r="E288" i="12"/>
  <c r="F288" i="12"/>
  <c r="E289" i="12"/>
  <c r="F289" i="12"/>
  <c r="E290" i="12"/>
  <c r="F290" i="12"/>
  <c r="E291" i="12"/>
  <c r="F291" i="12"/>
  <c r="E292" i="12"/>
  <c r="F292" i="12"/>
  <c r="E293" i="12"/>
  <c r="F293" i="12"/>
  <c r="E294" i="12"/>
  <c r="F294" i="12"/>
  <c r="E295" i="12"/>
  <c r="F295" i="12"/>
  <c r="E296" i="12"/>
  <c r="F296" i="12"/>
  <c r="E297" i="12"/>
  <c r="F297" i="12"/>
  <c r="E298" i="12"/>
  <c r="F298" i="12"/>
  <c r="E299" i="12"/>
  <c r="F299" i="12"/>
  <c r="E300" i="12"/>
  <c r="F300" i="12"/>
  <c r="E301" i="12"/>
  <c r="F301" i="12"/>
  <c r="E302" i="12"/>
  <c r="F302" i="12"/>
  <c r="E303" i="12"/>
  <c r="F303" i="12"/>
  <c r="E304" i="12"/>
  <c r="F304" i="12"/>
  <c r="E305" i="12"/>
  <c r="F305" i="12"/>
  <c r="E306" i="12"/>
  <c r="F306" i="12"/>
  <c r="E307" i="12"/>
  <c r="F307" i="12"/>
  <c r="E308" i="12"/>
  <c r="F308" i="12"/>
  <c r="E309" i="12"/>
  <c r="F309" i="12"/>
  <c r="E310" i="12"/>
  <c r="F310" i="12"/>
  <c r="E311" i="12"/>
  <c r="F311" i="12"/>
  <c r="E312" i="12"/>
  <c r="F312" i="12"/>
  <c r="E313" i="12"/>
  <c r="F313" i="12"/>
  <c r="E314" i="12"/>
  <c r="F314" i="12"/>
  <c r="E315" i="12"/>
  <c r="F315" i="12"/>
  <c r="E316" i="12"/>
  <c r="F316" i="12"/>
  <c r="E317" i="12"/>
  <c r="F317" i="12"/>
  <c r="E318" i="12"/>
  <c r="F318" i="12"/>
  <c r="E319" i="12"/>
  <c r="F319" i="12"/>
  <c r="E320" i="12"/>
  <c r="F320" i="12"/>
  <c r="E321" i="12"/>
  <c r="F321" i="12"/>
  <c r="E322" i="12"/>
  <c r="F322" i="12"/>
  <c r="E323" i="12"/>
  <c r="F323" i="12"/>
  <c r="E324" i="12"/>
  <c r="F324" i="12"/>
  <c r="E325" i="12"/>
  <c r="F325" i="12"/>
  <c r="E326" i="12"/>
  <c r="F326" i="12"/>
  <c r="E327" i="12"/>
  <c r="F327" i="12"/>
  <c r="E328" i="12"/>
  <c r="F328" i="12"/>
  <c r="E329" i="12"/>
  <c r="F329" i="12"/>
  <c r="E330" i="12"/>
  <c r="F330" i="12"/>
  <c r="E331" i="12"/>
  <c r="F331" i="12"/>
  <c r="E332" i="12"/>
  <c r="F332" i="12"/>
  <c r="E333" i="12"/>
  <c r="F333" i="12"/>
  <c r="E334" i="12"/>
  <c r="F334" i="12"/>
  <c r="E335" i="12"/>
  <c r="F335" i="12"/>
  <c r="E336" i="12"/>
  <c r="F336" i="12"/>
  <c r="E337" i="12"/>
  <c r="F337" i="12"/>
  <c r="E338" i="12"/>
  <c r="F338" i="12"/>
  <c r="E339" i="12"/>
  <c r="F339" i="12"/>
  <c r="E340" i="12"/>
  <c r="F340" i="12"/>
  <c r="E341" i="12"/>
  <c r="F341" i="12"/>
  <c r="E342" i="12"/>
  <c r="F342" i="12"/>
  <c r="E343" i="12"/>
  <c r="F343" i="12"/>
  <c r="E344" i="12"/>
  <c r="F344" i="12"/>
  <c r="E345" i="12"/>
  <c r="F345" i="12"/>
  <c r="E346" i="12"/>
  <c r="F346" i="12"/>
  <c r="E347" i="12"/>
  <c r="F347" i="12"/>
  <c r="E348" i="12"/>
  <c r="F348" i="12"/>
  <c r="E349" i="12"/>
  <c r="F349" i="12"/>
  <c r="E350" i="12"/>
  <c r="F350" i="12"/>
  <c r="E351" i="12"/>
  <c r="F351" i="12"/>
  <c r="E352" i="12"/>
  <c r="F352" i="12"/>
  <c r="E353" i="12"/>
  <c r="F353" i="12"/>
  <c r="E354" i="12"/>
  <c r="F354" i="12"/>
  <c r="E355" i="12"/>
  <c r="F355" i="12"/>
  <c r="E356" i="12"/>
  <c r="F356" i="12"/>
  <c r="E357" i="12"/>
  <c r="F357" i="12"/>
  <c r="E358" i="12"/>
  <c r="F358" i="12"/>
  <c r="E359" i="12"/>
  <c r="F359" i="12"/>
  <c r="E360" i="12"/>
  <c r="F360" i="12"/>
  <c r="E361" i="12"/>
  <c r="F361" i="12"/>
  <c r="E362" i="12"/>
  <c r="F362" i="12"/>
  <c r="E363" i="12"/>
  <c r="F363" i="12"/>
  <c r="E364" i="12"/>
  <c r="F364" i="12"/>
  <c r="E365" i="12"/>
  <c r="F365" i="12"/>
  <c r="E366" i="12"/>
  <c r="F366" i="12"/>
  <c r="E367" i="12"/>
  <c r="F367" i="12"/>
  <c r="E368" i="12"/>
  <c r="F368" i="12"/>
  <c r="E369" i="12"/>
  <c r="F369" i="12"/>
  <c r="E370" i="12"/>
  <c r="F370" i="12"/>
  <c r="E371" i="12"/>
  <c r="F371" i="12"/>
  <c r="E372" i="12"/>
  <c r="F372" i="12"/>
  <c r="E373" i="12"/>
  <c r="F373" i="12"/>
  <c r="E374" i="12"/>
  <c r="F374" i="12"/>
  <c r="E376" i="12"/>
  <c r="F376" i="12"/>
  <c r="E377" i="12"/>
  <c r="F377" i="12"/>
  <c r="E378" i="12"/>
  <c r="F378" i="12"/>
  <c r="E379" i="12"/>
  <c r="F379" i="12"/>
  <c r="E380" i="12"/>
  <c r="F380" i="12"/>
  <c r="E381" i="12"/>
  <c r="F381" i="12"/>
  <c r="E382" i="12"/>
  <c r="F382" i="12"/>
  <c r="E383" i="12"/>
  <c r="F383" i="12"/>
  <c r="E3" i="12" l="1"/>
  <c r="F3" i="12" l="1"/>
  <c r="F439" i="12" l="1"/>
  <c r="F441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F456" i="12"/>
  <c r="F455" i="12"/>
  <c r="F454" i="12"/>
  <c r="F453" i="12"/>
  <c r="F452" i="12"/>
  <c r="F451" i="12"/>
  <c r="F450" i="12"/>
  <c r="F449" i="12"/>
  <c r="F448" i="12"/>
  <c r="F447" i="12"/>
  <c r="F446" i="12"/>
  <c r="F445" i="12"/>
  <c r="F444" i="12"/>
  <c r="F443" i="12"/>
  <c r="F442" i="12"/>
  <c r="F440" i="12"/>
  <c r="F438" i="12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149" i="1"/>
  <c r="G147" i="1"/>
  <c r="G215" i="1"/>
  <c r="H215" i="1" s="1"/>
  <c r="G275" i="1"/>
  <c r="G276" i="1"/>
  <c r="H276" i="1" s="1"/>
  <c r="G148" i="1"/>
  <c r="G24" i="1"/>
  <c r="H24" i="1"/>
  <c r="G273" i="1"/>
  <c r="H273" i="1" s="1"/>
  <c r="G146" i="1"/>
  <c r="G145" i="1"/>
  <c r="G144" i="1"/>
  <c r="G123" i="1"/>
  <c r="H123" i="1"/>
  <c r="G122" i="1"/>
  <c r="H122" i="1"/>
  <c r="G81" i="1"/>
  <c r="G34" i="1"/>
  <c r="G119" i="1"/>
  <c r="H119" i="1"/>
  <c r="G162" i="1"/>
  <c r="H162" i="1"/>
  <c r="G172" i="1"/>
  <c r="H172" i="1"/>
  <c r="G174" i="1"/>
  <c r="H174" i="1"/>
  <c r="G176" i="1"/>
  <c r="H176" i="1"/>
  <c r="G177" i="1"/>
  <c r="H177" i="1"/>
  <c r="G180" i="1"/>
  <c r="H180" i="1"/>
  <c r="G167" i="1"/>
  <c r="H167" i="1"/>
  <c r="G163" i="1"/>
  <c r="H163" i="1"/>
  <c r="G165" i="1"/>
  <c r="H165" i="1"/>
  <c r="G166" i="1"/>
  <c r="H166" i="1"/>
  <c r="G169" i="1"/>
  <c r="H169" i="1"/>
  <c r="G181" i="1"/>
  <c r="H181" i="1"/>
  <c r="G182" i="1"/>
  <c r="H182" i="1"/>
  <c r="G186" i="1"/>
  <c r="H186" i="1"/>
  <c r="G188" i="1"/>
  <c r="H188" i="1"/>
  <c r="G171" i="1"/>
  <c r="H171" i="1"/>
  <c r="G183" i="1"/>
  <c r="H183" i="1"/>
  <c r="G160" i="1"/>
  <c r="H160" i="1"/>
  <c r="G161" i="1"/>
  <c r="H161" i="1"/>
  <c r="G164" i="1"/>
  <c r="H164" i="1"/>
  <c r="G170" i="1"/>
  <c r="H170" i="1"/>
  <c r="G173" i="1"/>
  <c r="H173" i="1"/>
  <c r="G175" i="1"/>
  <c r="H175" i="1"/>
  <c r="G178" i="1"/>
  <c r="H178" i="1"/>
  <c r="G179" i="1"/>
  <c r="H179" i="1"/>
  <c r="G184" i="1"/>
  <c r="H184" i="1"/>
  <c r="G185" i="1"/>
  <c r="H185" i="1"/>
  <c r="G187" i="1"/>
  <c r="H187" i="1"/>
  <c r="G189" i="1"/>
  <c r="H189" i="1"/>
  <c r="G190" i="1"/>
  <c r="H190" i="1"/>
  <c r="G191" i="1"/>
  <c r="H191" i="1"/>
  <c r="G192" i="1"/>
  <c r="H192" i="1"/>
  <c r="G193" i="1"/>
  <c r="H193" i="1"/>
  <c r="H194" i="1"/>
  <c r="G203" i="1"/>
  <c r="H203" i="1" s="1"/>
  <c r="G209" i="1"/>
  <c r="H209" i="1" s="1"/>
  <c r="G216" i="1"/>
  <c r="H216" i="1" s="1"/>
  <c r="G217" i="1"/>
  <c r="H217" i="1" s="1"/>
  <c r="G218" i="1"/>
  <c r="H218" i="1" s="1"/>
  <c r="G221" i="1"/>
  <c r="H221" i="1" s="1"/>
  <c r="G224" i="1"/>
  <c r="H224" i="1" s="1"/>
  <c r="G206" i="1"/>
  <c r="H206" i="1" s="1"/>
  <c r="G228" i="1"/>
  <c r="H228" i="1" s="1"/>
  <c r="G213" i="1"/>
  <c r="H213" i="1" s="1"/>
  <c r="G229" i="1"/>
  <c r="H229" i="1" s="1"/>
  <c r="G211" i="1"/>
  <c r="H211" i="1" s="1"/>
  <c r="G223" i="1"/>
  <c r="H223" i="1" s="1"/>
  <c r="G202" i="1"/>
  <c r="H202" i="1" s="1"/>
  <c r="G204" i="1"/>
  <c r="H204" i="1" s="1"/>
  <c r="G205" i="1"/>
  <c r="H205" i="1" s="1"/>
  <c r="G207" i="1"/>
  <c r="H207" i="1" s="1"/>
  <c r="G208" i="1"/>
  <c r="H208" i="1" s="1"/>
  <c r="G210" i="1"/>
  <c r="H210" i="1" s="1"/>
  <c r="G212" i="1"/>
  <c r="H212" i="1" s="1"/>
  <c r="G214" i="1"/>
  <c r="H214" i="1" s="1"/>
  <c r="G219" i="1"/>
  <c r="H219" i="1" s="1"/>
  <c r="G220" i="1"/>
  <c r="H220" i="1" s="1"/>
  <c r="G222" i="1"/>
  <c r="H222" i="1" s="1"/>
  <c r="G225" i="1"/>
  <c r="H225" i="1" s="1"/>
  <c r="G226" i="1"/>
  <c r="H226" i="1" s="1"/>
  <c r="G227" i="1"/>
  <c r="H227" i="1" s="1"/>
  <c r="G230" i="1"/>
  <c r="H230" i="1" s="1"/>
  <c r="G231" i="1"/>
  <c r="H231" i="1" s="1"/>
  <c r="G232" i="1"/>
  <c r="H232" i="1" s="1"/>
  <c r="G233" i="1"/>
  <c r="H233" i="1" s="1"/>
  <c r="H234" i="1"/>
  <c r="G121" i="1"/>
  <c r="H121" i="1" s="1"/>
  <c r="G126" i="1"/>
  <c r="H126" i="1" s="1"/>
  <c r="G128" i="1"/>
  <c r="H128" i="1" s="1"/>
  <c r="G125" i="1"/>
  <c r="H125" i="1" s="1"/>
  <c r="G127" i="1"/>
  <c r="H127" i="1" s="1"/>
  <c r="G120" i="1"/>
  <c r="H120" i="1" s="1"/>
  <c r="G132" i="1"/>
  <c r="H132" i="1" s="1"/>
  <c r="G129" i="1"/>
  <c r="H129" i="1" s="1"/>
  <c r="G135" i="1"/>
  <c r="H135" i="1" s="1"/>
  <c r="G140" i="1"/>
  <c r="H140" i="1" s="1"/>
  <c r="G137" i="1"/>
  <c r="H137" i="1" s="1"/>
  <c r="G124" i="1"/>
  <c r="H124" i="1" s="1"/>
  <c r="G134" i="1"/>
  <c r="H134" i="1" s="1"/>
  <c r="G138" i="1"/>
  <c r="H138" i="1" s="1"/>
  <c r="G142" i="1"/>
  <c r="H142" i="1" s="1"/>
  <c r="G118" i="1"/>
  <c r="H118" i="1" s="1"/>
  <c r="G130" i="1"/>
  <c r="H130" i="1" s="1"/>
  <c r="G131" i="1"/>
  <c r="H131" i="1" s="1"/>
  <c r="G133" i="1"/>
  <c r="H133" i="1" s="1"/>
  <c r="G136" i="1"/>
  <c r="H136" i="1" s="1"/>
  <c r="G139" i="1"/>
  <c r="H139" i="1" s="1"/>
  <c r="G141" i="1"/>
  <c r="H141" i="1" s="1"/>
  <c r="G143" i="1"/>
  <c r="H143" i="1" s="1"/>
  <c r="G150" i="1"/>
  <c r="H150" i="1" s="1"/>
  <c r="G151" i="1"/>
  <c r="H151" i="1" s="1"/>
  <c r="G152" i="1"/>
  <c r="H152" i="1" s="1"/>
  <c r="H153" i="1"/>
  <c r="G25" i="1"/>
  <c r="H25" i="1" s="1"/>
  <c r="G53" i="1"/>
  <c r="H53" i="1" s="1"/>
  <c r="G26" i="1"/>
  <c r="H26" i="1" s="1"/>
  <c r="G27" i="1"/>
  <c r="H27" i="1" s="1"/>
  <c r="G28" i="1"/>
  <c r="H28" i="1" s="1"/>
  <c r="G31" i="1"/>
  <c r="H31" i="1" s="1"/>
  <c r="G36" i="1"/>
  <c r="H36" i="1" s="1"/>
  <c r="G30" i="1"/>
  <c r="H30" i="1" s="1"/>
  <c r="G39" i="1"/>
  <c r="H39" i="1" s="1"/>
  <c r="G45" i="1"/>
  <c r="H45" i="1" s="1"/>
  <c r="G46" i="1"/>
  <c r="H46" i="1" s="1"/>
  <c r="G47" i="1"/>
  <c r="H47" i="1" s="1"/>
  <c r="G48" i="1"/>
  <c r="H48" i="1" s="1"/>
  <c r="G51" i="1"/>
  <c r="H51" i="1" s="1"/>
  <c r="G54" i="1"/>
  <c r="H54" i="1" s="1"/>
  <c r="G57" i="1"/>
  <c r="H57" i="1" s="1"/>
  <c r="G58" i="1"/>
  <c r="H58" i="1" s="1"/>
  <c r="G38" i="1"/>
  <c r="H38" i="1" s="1"/>
  <c r="G29" i="1"/>
  <c r="H29" i="1" s="1"/>
  <c r="G32" i="1"/>
  <c r="H32" i="1" s="1"/>
  <c r="G33" i="1"/>
  <c r="H33" i="1" s="1"/>
  <c r="G35" i="1"/>
  <c r="H35" i="1" s="1"/>
  <c r="G37" i="1"/>
  <c r="H37" i="1" s="1"/>
  <c r="G40" i="1"/>
  <c r="H40" i="1" s="1"/>
  <c r="G41" i="1"/>
  <c r="H41" i="1" s="1"/>
  <c r="G42" i="1"/>
  <c r="H42" i="1" s="1"/>
  <c r="G43" i="1"/>
  <c r="H43" i="1" s="1"/>
  <c r="G44" i="1"/>
  <c r="H44" i="1" s="1"/>
  <c r="G49" i="1"/>
  <c r="H49" i="1" s="1"/>
  <c r="G50" i="1"/>
  <c r="H50" i="1" s="1"/>
  <c r="G52" i="1"/>
  <c r="H52" i="1" s="1"/>
  <c r="G55" i="1"/>
  <c r="H55" i="1" s="1"/>
  <c r="G56" i="1"/>
  <c r="H56" i="1" s="1"/>
  <c r="G59" i="1"/>
  <c r="H59" i="1" s="1"/>
  <c r="G60" i="1"/>
  <c r="H60" i="1" s="1"/>
  <c r="G61" i="1"/>
  <c r="H61" i="1" s="1"/>
  <c r="G62" i="1"/>
  <c r="H62" i="1" s="1"/>
  <c r="G63" i="1"/>
  <c r="H63" i="1" s="1"/>
  <c r="G247" i="1"/>
  <c r="H247" i="1" s="1"/>
  <c r="G256" i="1"/>
  <c r="H256" i="1" s="1"/>
  <c r="G241" i="1"/>
  <c r="H241" i="1" s="1"/>
  <c r="G257" i="1"/>
  <c r="H257" i="1" s="1"/>
  <c r="G261" i="1"/>
  <c r="H261" i="1" s="1"/>
  <c r="G267" i="1"/>
  <c r="H267" i="1" s="1"/>
  <c r="G268" i="1"/>
  <c r="H268" i="1" s="1"/>
  <c r="G244" i="1"/>
  <c r="H244" i="1" s="1"/>
  <c r="G245" i="1"/>
  <c r="H245" i="1" s="1"/>
  <c r="G246" i="1"/>
  <c r="H246" i="1" s="1"/>
  <c r="G249" i="1"/>
  <c r="H249" i="1" s="1"/>
  <c r="G250" i="1"/>
  <c r="H250" i="1" s="1"/>
  <c r="G251" i="1"/>
  <c r="H251" i="1" s="1"/>
  <c r="G258" i="1"/>
  <c r="H258" i="1" s="1"/>
  <c r="G259" i="1"/>
  <c r="H259" i="1" s="1"/>
  <c r="G260" i="1"/>
  <c r="H260" i="1" s="1"/>
  <c r="G263" i="1"/>
  <c r="H263" i="1" s="1"/>
  <c r="G264" i="1"/>
  <c r="H264" i="1" s="1"/>
  <c r="G266" i="1"/>
  <c r="H266" i="1" s="1"/>
  <c r="G269" i="1"/>
  <c r="H269" i="1" s="1"/>
  <c r="G270" i="1"/>
  <c r="H270" i="1" s="1"/>
  <c r="G272" i="1"/>
  <c r="H272" i="1" s="1"/>
  <c r="G243" i="1"/>
  <c r="H243" i="1" s="1"/>
  <c r="G271" i="1"/>
  <c r="H271" i="1" s="1"/>
  <c r="G242" i="1"/>
  <c r="H242" i="1" s="1"/>
  <c r="G248" i="1"/>
  <c r="H248" i="1" s="1"/>
  <c r="G252" i="1"/>
  <c r="H252" i="1" s="1"/>
  <c r="G253" i="1"/>
  <c r="H253" i="1" s="1"/>
  <c r="G254" i="1"/>
  <c r="H254" i="1" s="1"/>
  <c r="G255" i="1"/>
  <c r="H255" i="1" s="1"/>
  <c r="G262" i="1"/>
  <c r="H262" i="1" s="1"/>
  <c r="G265" i="1"/>
  <c r="H265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82" i="1"/>
  <c r="H82" i="1" s="1"/>
  <c r="G87" i="1"/>
  <c r="H87" i="1" s="1"/>
  <c r="G89" i="1"/>
  <c r="H89" i="1" s="1"/>
  <c r="G91" i="1"/>
  <c r="H91" i="1" s="1"/>
  <c r="G92" i="1"/>
  <c r="H92" i="1" s="1"/>
  <c r="G69" i="1"/>
  <c r="H69" i="1" s="1"/>
  <c r="G70" i="1"/>
  <c r="H70" i="1" s="1"/>
  <c r="G71" i="1"/>
  <c r="H71" i="1" s="1"/>
  <c r="G72" i="1"/>
  <c r="H72" i="1" s="1"/>
  <c r="G78" i="1"/>
  <c r="H78" i="1" s="1"/>
  <c r="G84" i="1"/>
  <c r="H84" i="1" s="1"/>
  <c r="G85" i="1"/>
  <c r="H85" i="1" s="1"/>
  <c r="G76" i="1"/>
  <c r="H76" i="1" s="1"/>
  <c r="G73" i="1"/>
  <c r="H73" i="1" s="1"/>
  <c r="G74" i="1"/>
  <c r="H74" i="1" s="1"/>
  <c r="G75" i="1"/>
  <c r="H75" i="1" s="1"/>
  <c r="G77" i="1"/>
  <c r="H77" i="1" s="1"/>
  <c r="G79" i="1"/>
  <c r="H79" i="1" s="1"/>
  <c r="G83" i="1"/>
  <c r="H83" i="1" s="1"/>
  <c r="G86" i="1"/>
  <c r="H86" i="1" s="1"/>
  <c r="G88" i="1"/>
  <c r="H88" i="1" s="1"/>
  <c r="G90" i="1"/>
  <c r="H90" i="1" s="1"/>
  <c r="G93" i="1"/>
  <c r="H93" i="1" s="1"/>
  <c r="G94" i="1"/>
  <c r="H94" i="1" s="1"/>
  <c r="G95" i="1"/>
  <c r="H95" i="1" s="1"/>
  <c r="G96" i="1"/>
  <c r="H96" i="1" s="1"/>
  <c r="G97" i="1"/>
  <c r="H97" i="1" s="1"/>
  <c r="G109" i="1"/>
  <c r="H109" i="1" s="1"/>
  <c r="H110" i="1"/>
  <c r="E62" i="1"/>
  <c r="G168" i="1"/>
  <c r="H168" i="1" s="1"/>
  <c r="H195" i="1" s="1"/>
  <c r="H196" i="1" s="1"/>
  <c r="E175" i="1"/>
  <c r="E176" i="1"/>
  <c r="E178" i="1"/>
  <c r="E180" i="1"/>
  <c r="E181" i="1"/>
  <c r="E183" i="1"/>
  <c r="E184" i="1"/>
  <c r="E185" i="1"/>
  <c r="E187" i="1"/>
  <c r="E189" i="1"/>
  <c r="E190" i="1"/>
  <c r="E191" i="1"/>
  <c r="E192" i="1"/>
  <c r="E193" i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36" i="1"/>
  <c r="H336" i="1" s="1"/>
  <c r="G311" i="1"/>
  <c r="H311" i="1" s="1"/>
  <c r="G309" i="1"/>
  <c r="H309" i="1" s="1"/>
  <c r="G307" i="1"/>
  <c r="H307" i="1" s="1"/>
  <c r="G305" i="1"/>
  <c r="H305" i="1" s="1"/>
  <c r="G303" i="1"/>
  <c r="H303" i="1" s="1"/>
  <c r="G301" i="1"/>
  <c r="H301" i="1" s="1"/>
  <c r="G80" i="1"/>
  <c r="H80" i="1" s="1"/>
  <c r="G325" i="1"/>
  <c r="H325" i="1" s="1"/>
  <c r="G326" i="1"/>
  <c r="H326" i="1" s="1"/>
  <c r="G327" i="1"/>
  <c r="H327" i="1" s="1"/>
  <c r="G328" i="1"/>
  <c r="H328" i="1" s="1"/>
  <c r="G331" i="1"/>
  <c r="H331" i="1" s="1"/>
  <c r="G334" i="1"/>
  <c r="H334" i="1" s="1"/>
  <c r="G332" i="1"/>
  <c r="H332" i="1" s="1"/>
  <c r="G330" i="1"/>
  <c r="H330" i="1" s="1"/>
  <c r="E188" i="1"/>
  <c r="E182" i="1"/>
  <c r="E174" i="1"/>
  <c r="G335" i="1"/>
  <c r="H335" i="1" s="1"/>
  <c r="G333" i="1"/>
  <c r="H333" i="1" s="1"/>
  <c r="G329" i="1"/>
  <c r="H329" i="1" s="1"/>
  <c r="G274" i="1"/>
  <c r="G302" i="1"/>
  <c r="H302" i="1" s="1"/>
  <c r="G304" i="1"/>
  <c r="H304" i="1" s="1"/>
  <c r="G312" i="1"/>
  <c r="H312" i="1" s="1"/>
  <c r="G310" i="1"/>
  <c r="H310" i="1" s="1"/>
  <c r="G308" i="1"/>
  <c r="H308" i="1" s="1"/>
  <c r="G306" i="1"/>
  <c r="H306" i="1" s="1"/>
  <c r="E186" i="1"/>
  <c r="E179" i="1"/>
  <c r="E177" i="1"/>
  <c r="E110" i="1"/>
  <c r="E111" i="1" s="1"/>
  <c r="H292" i="1"/>
  <c r="D183" i="41" l="1"/>
  <c r="D182" i="41"/>
  <c r="D67" i="41"/>
  <c r="D66" i="41"/>
  <c r="D10" i="41"/>
  <c r="D183" i="40"/>
  <c r="D182" i="40"/>
  <c r="D136" i="40"/>
  <c r="D134" i="40"/>
  <c r="D126" i="40"/>
  <c r="D125" i="40"/>
  <c r="D71" i="40"/>
  <c r="D70" i="40"/>
  <c r="D69" i="40"/>
  <c r="H69" i="40" s="1"/>
  <c r="D68" i="40"/>
  <c r="D67" i="40"/>
  <c r="D65" i="40"/>
  <c r="D183" i="39"/>
  <c r="D182" i="39"/>
  <c r="D67" i="39"/>
  <c r="D66" i="39"/>
  <c r="D10" i="39"/>
  <c r="D9" i="39"/>
  <c r="D183" i="37"/>
  <c r="D125" i="37"/>
  <c r="D68" i="37"/>
  <c r="D67" i="37"/>
  <c r="D66" i="37"/>
  <c r="D9" i="37"/>
  <c r="H341" i="1"/>
  <c r="H343" i="1" s="1"/>
  <c r="H154" i="1"/>
  <c r="H155" i="1" s="1"/>
  <c r="H64" i="1"/>
  <c r="H342" i="1"/>
  <c r="H319" i="1"/>
  <c r="H111" i="1"/>
  <c r="H235" i="1"/>
  <c r="H236" i="1" s="1"/>
  <c r="G9" i="37" l="1"/>
  <c r="H9" i="37" s="1"/>
  <c r="H48" i="37" s="1"/>
  <c r="E9" i="37"/>
  <c r="E48" i="37" s="1"/>
  <c r="E49" i="37" s="1"/>
  <c r="E50" i="37" s="1"/>
  <c r="E52" i="37" s="1"/>
  <c r="G66" i="37"/>
  <c r="H66" i="37" s="1"/>
  <c r="E66" i="37"/>
  <c r="G67" i="37"/>
  <c r="H67" i="37" s="1"/>
  <c r="E67" i="37"/>
  <c r="G68" i="37"/>
  <c r="H68" i="37" s="1"/>
  <c r="E68" i="37"/>
  <c r="G125" i="37"/>
  <c r="H125" i="37" s="1"/>
  <c r="H164" i="37" s="1"/>
  <c r="H165" i="37" s="1"/>
  <c r="H166" i="37" s="1"/>
  <c r="H168" i="37" s="1"/>
  <c r="E125" i="37"/>
  <c r="E164" i="37" s="1"/>
  <c r="E165" i="37" s="1"/>
  <c r="E166" i="37" s="1"/>
  <c r="E168" i="37" s="1"/>
  <c r="G183" i="37"/>
  <c r="H183" i="37" s="1"/>
  <c r="H221" i="37" s="1"/>
  <c r="H222" i="37" s="1"/>
  <c r="H223" i="37" s="1"/>
  <c r="H225" i="37" s="1"/>
  <c r="E183" i="37"/>
  <c r="E221" i="37" s="1"/>
  <c r="E222" i="37" s="1"/>
  <c r="E223" i="37" s="1"/>
  <c r="E225" i="37" s="1"/>
  <c r="G9" i="39"/>
  <c r="H9" i="39" s="1"/>
  <c r="E9" i="39"/>
  <c r="G10" i="39"/>
  <c r="H10" i="39" s="1"/>
  <c r="E10" i="39"/>
  <c r="G66" i="39"/>
  <c r="H66" i="39" s="1"/>
  <c r="E66" i="39"/>
  <c r="G67" i="39"/>
  <c r="H67" i="39" s="1"/>
  <c r="E67" i="39"/>
  <c r="G182" i="39"/>
  <c r="H182" i="39" s="1"/>
  <c r="E182" i="39"/>
  <c r="G183" i="39"/>
  <c r="H183" i="39" s="1"/>
  <c r="E183" i="39"/>
  <c r="H65" i="40"/>
  <c r="H67" i="40"/>
  <c r="H68" i="40"/>
  <c r="H70" i="40"/>
  <c r="H71" i="40"/>
  <c r="H125" i="40"/>
  <c r="H126" i="40"/>
  <c r="H134" i="40"/>
  <c r="H136" i="40"/>
  <c r="H182" i="40"/>
  <c r="H183" i="40"/>
  <c r="G10" i="41"/>
  <c r="H10" i="41" s="1"/>
  <c r="H48" i="41" s="1"/>
  <c r="H49" i="41" s="1"/>
  <c r="H50" i="41" s="1"/>
  <c r="H52" i="41" s="1"/>
  <c r="E10" i="41"/>
  <c r="E48" i="41" s="1"/>
  <c r="E49" i="41" s="1"/>
  <c r="E50" i="41" s="1"/>
  <c r="E52" i="41" s="1"/>
  <c r="G66" i="41"/>
  <c r="H66" i="41" s="1"/>
  <c r="E66" i="41"/>
  <c r="G67" i="41"/>
  <c r="H67" i="41" s="1"/>
  <c r="E67" i="41"/>
  <c r="G182" i="41"/>
  <c r="H182" i="41" s="1"/>
  <c r="E182" i="41"/>
  <c r="G183" i="41"/>
  <c r="H183" i="41" s="1"/>
  <c r="E183" i="41"/>
  <c r="H320" i="1"/>
  <c r="H321" i="1"/>
  <c r="E221" i="41" l="1"/>
  <c r="E222" i="41" s="1"/>
  <c r="E223" i="41" s="1"/>
  <c r="E225" i="41" s="1"/>
  <c r="H221" i="41"/>
  <c r="H222" i="41" s="1"/>
  <c r="H223" i="41" s="1"/>
  <c r="H225" i="41" s="1"/>
  <c r="E106" i="41"/>
  <c r="E107" i="41" s="1"/>
  <c r="E108" i="41" s="1"/>
  <c r="E110" i="41" s="1"/>
  <c r="H106" i="41"/>
  <c r="H107" i="41" s="1"/>
  <c r="H108" i="41" s="1"/>
  <c r="H110" i="41" s="1"/>
  <c r="H221" i="40"/>
  <c r="H222" i="40" s="1"/>
  <c r="H223" i="40" s="1"/>
  <c r="H225" i="40" s="1"/>
  <c r="H164" i="40"/>
  <c r="H165" i="40" s="1"/>
  <c r="H166" i="40" s="1"/>
  <c r="H168" i="40" s="1"/>
  <c r="H106" i="40"/>
  <c r="H107" i="40" s="1"/>
  <c r="H108" i="40" s="1"/>
  <c r="H110" i="40" s="1"/>
  <c r="E221" i="39"/>
  <c r="E222" i="39" s="1"/>
  <c r="E223" i="39" s="1"/>
  <c r="E225" i="39" s="1"/>
  <c r="H221" i="39"/>
  <c r="H222" i="39" s="1"/>
  <c r="H223" i="39" s="1"/>
  <c r="H225" i="39" s="1"/>
  <c r="E106" i="39"/>
  <c r="E107" i="39" s="1"/>
  <c r="E108" i="39" s="1"/>
  <c r="E110" i="39" s="1"/>
  <c r="H106" i="39"/>
  <c r="H107" i="39" s="1"/>
  <c r="H108" i="39" s="1"/>
  <c r="H110" i="39" s="1"/>
  <c r="E48" i="39"/>
  <c r="E49" i="39" s="1"/>
  <c r="E50" i="39" s="1"/>
  <c r="E52" i="39" s="1"/>
  <c r="H48" i="39"/>
  <c r="H49" i="39" s="1"/>
  <c r="H50" i="39" s="1"/>
  <c r="H52" i="39" s="1"/>
  <c r="E106" i="37"/>
  <c r="E107" i="37" s="1"/>
  <c r="E108" i="37" s="1"/>
  <c r="E110" i="37" s="1"/>
  <c r="H106" i="37"/>
  <c r="H107" i="37" s="1"/>
  <c r="H108" i="37" s="1"/>
  <c r="H110" i="37" s="1"/>
  <c r="H49" i="37"/>
  <c r="H50" i="37"/>
  <c r="H52" i="37" s="1"/>
</calcChain>
</file>

<file path=xl/comments1.xml><?xml version="1.0" encoding="utf-8"?>
<comments xmlns="http://schemas.openxmlformats.org/spreadsheetml/2006/main">
  <authors>
    <author>Amalia</author>
  </authors>
  <commentList>
    <comment ref="C33" authorId="0">
      <text>
        <r>
          <rPr>
            <b/>
            <sz val="12"/>
            <color indexed="81"/>
            <rFont val="Tahoma"/>
            <family val="2"/>
          </rPr>
          <t>Precios recurrentes por actualización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12"/>
            <color indexed="81"/>
            <rFont val="Tahoma"/>
            <family val="2"/>
          </rPr>
          <t>Precios recurrentes por actualización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<sst xmlns="http://schemas.openxmlformats.org/spreadsheetml/2006/main" count="3457" uniqueCount="1897">
  <si>
    <t>05-33</t>
  </si>
  <si>
    <t>05-34</t>
  </si>
  <si>
    <t>05-35</t>
  </si>
  <si>
    <t>06-13</t>
  </si>
  <si>
    <t>06-14</t>
  </si>
  <si>
    <t>07-19</t>
  </si>
  <si>
    <t>07-20</t>
  </si>
  <si>
    <t>07-21</t>
  </si>
  <si>
    <t>07-22</t>
  </si>
  <si>
    <t>08-66</t>
  </si>
  <si>
    <t>NUMERO DE COMENSALES</t>
  </si>
  <si>
    <t>FECHA:</t>
  </si>
  <si>
    <t>PRECOSTEO</t>
  </si>
  <si>
    <t>REAL</t>
  </si>
  <si>
    <t>DIA        MES       AÑO</t>
  </si>
  <si>
    <t>PROTEICO 1:</t>
  </si>
  <si>
    <t>PROTEICO 2:</t>
  </si>
  <si>
    <t>CONTORNO 1:</t>
  </si>
  <si>
    <t>CONTORNO 2:</t>
  </si>
  <si>
    <t>ALIMENTO</t>
  </si>
  <si>
    <t>CANT.</t>
  </si>
  <si>
    <t>COSTO</t>
  </si>
  <si>
    <t>TOTAL</t>
  </si>
  <si>
    <t>SUB TOTAL SIN AGREGADOS</t>
  </si>
  <si>
    <t>TOTAL:</t>
  </si>
  <si>
    <t>COSTO RACION:</t>
  </si>
  <si>
    <t>PASTELERIA</t>
  </si>
  <si>
    <t>DESECHABLES</t>
  </si>
  <si>
    <t>SUB TOTAL</t>
  </si>
  <si>
    <t>LIMPIEZA Y DESINFECTANTES</t>
  </si>
  <si>
    <t>ALIMENTOS:</t>
  </si>
  <si>
    <t>LIMPIEZA Y DESECHABLES:</t>
  </si>
  <si>
    <t>C.U.P.=</t>
  </si>
  <si>
    <t>C.U.P=</t>
  </si>
  <si>
    <t>GALON</t>
  </si>
  <si>
    <t>KILO</t>
  </si>
  <si>
    <t>LATAS</t>
  </si>
  <si>
    <t>UND.</t>
  </si>
  <si>
    <t>CAJAS</t>
  </si>
  <si>
    <t>PAQ.</t>
  </si>
  <si>
    <t>PLATAFORMA:</t>
  </si>
  <si>
    <t xml:space="preserve">                   </t>
  </si>
  <si>
    <t>DESAYUNO</t>
  </si>
  <si>
    <t>ALMUERZO</t>
  </si>
  <si>
    <t>CENA</t>
  </si>
  <si>
    <t>CENA DE MEDIANOCHE</t>
  </si>
  <si>
    <t>MERIENDAS</t>
  </si>
  <si>
    <t>POSTRES:</t>
  </si>
  <si>
    <t>SOPAS:</t>
  </si>
  <si>
    <t>ENSALADAS:</t>
  </si>
  <si>
    <t>BEBIDAS:</t>
  </si>
  <si>
    <t>OPCIONALES:</t>
  </si>
  <si>
    <t>COD</t>
  </si>
  <si>
    <t>ADEREZOS</t>
  </si>
  <si>
    <t>1-01</t>
  </si>
  <si>
    <t>Aceite de cuñete de 18 lts.</t>
  </si>
  <si>
    <t>LTS.</t>
  </si>
  <si>
    <t>1-02</t>
  </si>
  <si>
    <t>Aceite de oliva de lata de 700ML</t>
  </si>
  <si>
    <t>1-03</t>
  </si>
  <si>
    <t>Aceite de oliva de Frasco 750 ml</t>
  </si>
  <si>
    <t>1-04</t>
  </si>
  <si>
    <t>Aceite de sesamo bot. De 370 ml.</t>
  </si>
  <si>
    <t>1-05</t>
  </si>
  <si>
    <t>Manteca vegetal de 20k.</t>
  </si>
  <si>
    <t>KLS.</t>
  </si>
  <si>
    <t>1-06</t>
  </si>
  <si>
    <t>Mantequilla de mani.</t>
  </si>
  <si>
    <t>1-07</t>
  </si>
  <si>
    <t>Margarina con sal de 5 kls.</t>
  </si>
  <si>
    <t>1-08</t>
  </si>
  <si>
    <t>Margarina sin sal de 5 kls.</t>
  </si>
  <si>
    <t>1-09</t>
  </si>
  <si>
    <t>Mantequilla paisa 200 grs</t>
  </si>
  <si>
    <t>1-10</t>
  </si>
  <si>
    <t xml:space="preserve">Mantequilla condesa pandock </t>
  </si>
  <si>
    <t>1-11</t>
  </si>
  <si>
    <t>Mayonesa de 445 grs. Kraft</t>
  </si>
  <si>
    <t>1-12</t>
  </si>
  <si>
    <t>Mayonesa de galon de 3,6 kgs.</t>
  </si>
  <si>
    <t>1-13</t>
  </si>
  <si>
    <t>Mostaza de 260 grs.</t>
  </si>
  <si>
    <t>1-14</t>
  </si>
  <si>
    <t>Salsa para costillas 240 grs</t>
  </si>
  <si>
    <t>1-15</t>
  </si>
  <si>
    <t>Mostaza de galon de 4 kgs.</t>
  </si>
  <si>
    <t>1-16</t>
  </si>
  <si>
    <t xml:space="preserve">Salsa de tomate ketchup de 384GRS. </t>
  </si>
  <si>
    <t>1-17</t>
  </si>
  <si>
    <t>salsa de tomate heinz de 1kl</t>
  </si>
  <si>
    <t>1-18</t>
  </si>
  <si>
    <t>Salsa 57  heinz</t>
  </si>
  <si>
    <t>1-19</t>
  </si>
  <si>
    <t xml:space="preserve">Salsa de tomate ketchup  4,3 kgs. </t>
  </si>
  <si>
    <t>1-20</t>
  </si>
  <si>
    <t>Salsa Inglesa de galon de 4 lts.</t>
  </si>
  <si>
    <t>1-21</t>
  </si>
  <si>
    <t xml:space="preserve">Salsa de soya de galon de 3,8 lts. </t>
  </si>
  <si>
    <t>1-22</t>
  </si>
  <si>
    <t>Salsa de soya de frasco de 300 ml.( cabimera)</t>
  </si>
  <si>
    <t>1-23</t>
  </si>
  <si>
    <t>Salsa de ostras de 510 ml.</t>
  </si>
  <si>
    <t>1-24</t>
  </si>
  <si>
    <t>Salsa de ostras de 907 ml.</t>
  </si>
  <si>
    <t>1-25</t>
  </si>
  <si>
    <t>Salsa bbq mckormick de 150 grs.</t>
  </si>
  <si>
    <t>1-26</t>
  </si>
  <si>
    <t>Salsa bbq importada HUNTS 612 grs</t>
  </si>
  <si>
    <t>1-27</t>
  </si>
  <si>
    <t>Salsa picante criolla 145grs</t>
  </si>
  <si>
    <t>1-28</t>
  </si>
  <si>
    <t>mayonesa frasco mavesa 910 grs</t>
  </si>
  <si>
    <t>1-29</t>
  </si>
  <si>
    <t>salsa HP original 255 grs</t>
  </si>
  <si>
    <t>1-30</t>
  </si>
  <si>
    <t>Salsa agridulce McCormick 150</t>
  </si>
  <si>
    <t>1-31</t>
  </si>
  <si>
    <t>Vinagre Balsamico de 250 ml.</t>
  </si>
  <si>
    <t>1-32</t>
  </si>
  <si>
    <t>Vinagre de vino tinto de 1 lts.</t>
  </si>
  <si>
    <t>1-33</t>
  </si>
  <si>
    <t>Vinagre blanco de galon de 4 lts.</t>
  </si>
  <si>
    <t>1-34</t>
  </si>
  <si>
    <t>Salsa Old Paso 453 grs</t>
  </si>
  <si>
    <t>1-35</t>
  </si>
  <si>
    <t>Salsa Hot sauce Old El paso 226 grs</t>
  </si>
  <si>
    <t>1-36</t>
  </si>
  <si>
    <t>salsa tabasco 150 ml ( del original)</t>
  </si>
  <si>
    <t>1-37</t>
  </si>
  <si>
    <t>salsa tabasco de 60 ml</t>
  </si>
  <si>
    <t>SUB - TOTAL ADEREZOS</t>
  </si>
  <si>
    <t>ENLATADOS</t>
  </si>
  <si>
    <t>2-01</t>
  </si>
  <si>
    <t>Ablandador de carne frasco 142gr</t>
  </si>
  <si>
    <t>2-02</t>
  </si>
  <si>
    <t>Aceitunas negras rebanada de 4 kgs.</t>
  </si>
  <si>
    <t>2-03</t>
  </si>
  <si>
    <t>Aceitunas rellena de pimientos de galon de 2,550 kgs.</t>
  </si>
  <si>
    <t>2-04</t>
  </si>
  <si>
    <t>Alcaparras</t>
  </si>
  <si>
    <t>2-05</t>
  </si>
  <si>
    <t xml:space="preserve">Anchoas lata de 400grs </t>
  </si>
  <si>
    <t>2-06</t>
  </si>
  <si>
    <t>Atun en aceite lata de 184 grs.</t>
  </si>
  <si>
    <t>2-07</t>
  </si>
  <si>
    <t>Caldo de pollo de 500 grs.</t>
  </si>
  <si>
    <t>2-08</t>
  </si>
  <si>
    <t>Champiñones enteros lata de 2,5 kls.</t>
  </si>
  <si>
    <t>2-09</t>
  </si>
  <si>
    <t>Champiñones fileteados lata de 2,5 kls.</t>
  </si>
  <si>
    <t>2-10</t>
  </si>
  <si>
    <t>Diablito de 115 grs.</t>
  </si>
  <si>
    <t>2-11</t>
  </si>
  <si>
    <t>Esparragos blancos lata de 390 grs</t>
  </si>
  <si>
    <t>2-12</t>
  </si>
  <si>
    <t>Esparragos verdes frasco 330 grs</t>
  </si>
  <si>
    <t>2-13</t>
  </si>
  <si>
    <t>Jalapeños rebanados 340grs.old el paso</t>
  </si>
  <si>
    <t>2-14</t>
  </si>
  <si>
    <t>Maiz crema lata de 440 grs.</t>
  </si>
  <si>
    <t>2-15</t>
  </si>
  <si>
    <t xml:space="preserve">Maiz entero galon 2,950 </t>
  </si>
  <si>
    <t>2-16</t>
  </si>
  <si>
    <t>Maiz entero lata de 440 grs.</t>
  </si>
  <si>
    <t>2-17</t>
  </si>
  <si>
    <t>Melocoton en almibar lata de 3 kls.</t>
  </si>
  <si>
    <t>2-18</t>
  </si>
  <si>
    <t>Palmito frasco 800grs</t>
  </si>
  <si>
    <t>2-19</t>
  </si>
  <si>
    <t>Pasta de tomate.</t>
  </si>
  <si>
    <t>2-20</t>
  </si>
  <si>
    <t>Pepinillos frasco 470 grs</t>
  </si>
  <si>
    <t>2-21</t>
  </si>
  <si>
    <t>Pepitonas picantes 140 grs</t>
  </si>
  <si>
    <t>2-22</t>
  </si>
  <si>
    <t>Piña en rueda 800grs</t>
  </si>
  <si>
    <t>2-23</t>
  </si>
  <si>
    <t>Sardinas lata 350 gr</t>
  </si>
  <si>
    <t>2-24</t>
  </si>
  <si>
    <t>Tomates pelados lata de 2,550 kg.</t>
  </si>
  <si>
    <t>SUB - TOTAL ENLATADOS</t>
  </si>
  <si>
    <t>LACTEOS</t>
  </si>
  <si>
    <t>3-01</t>
  </si>
  <si>
    <t>Chantypack de 1 lts.</t>
  </si>
  <si>
    <t>3-02</t>
  </si>
  <si>
    <t>Cheeze-wiz frasco de 300 grs.</t>
  </si>
  <si>
    <t>3-03</t>
  </si>
  <si>
    <t>Coffee mate 170 grs</t>
  </si>
  <si>
    <t>3-04</t>
  </si>
  <si>
    <t>Crema de leche de lata de 295 grs.</t>
  </si>
  <si>
    <t>3-05</t>
  </si>
  <si>
    <t>Crema de leche Hulala pastelera de 1 lts.</t>
  </si>
  <si>
    <t>3-06</t>
  </si>
  <si>
    <t>Crema de leche Parissiene de cocina de 1 lts.</t>
  </si>
  <si>
    <t>3-07</t>
  </si>
  <si>
    <t>Crema de leche Parissiene pastelera de 1 lts.</t>
  </si>
  <si>
    <t>3-08</t>
  </si>
  <si>
    <t>Crema Hulala sabor 3 leches de 1lts.</t>
  </si>
  <si>
    <t>3-09</t>
  </si>
  <si>
    <t>Crema Hulala sabor a chocolate de 1lts.</t>
  </si>
  <si>
    <t>3-10</t>
  </si>
  <si>
    <t>Helados surtidos envase de 5 lts (fresa,mantecado).</t>
  </si>
  <si>
    <t>3-11</t>
  </si>
  <si>
    <t>Huevos caja de 12 cartones.</t>
  </si>
  <si>
    <t>CARTON</t>
  </si>
  <si>
    <t>3-12</t>
  </si>
  <si>
    <t>Leche completa larga duracion</t>
  </si>
  <si>
    <t>3-13</t>
  </si>
  <si>
    <t>Leche condensada de lata de 395 grs.</t>
  </si>
  <si>
    <t>3-14</t>
  </si>
  <si>
    <t>Leche descremada larga duracion de 1 lts.</t>
  </si>
  <si>
    <t>3-15</t>
  </si>
  <si>
    <t xml:space="preserve">Leche en polvo </t>
  </si>
  <si>
    <t>3-16</t>
  </si>
  <si>
    <t>Leche evaporada de lata de 410 grs.</t>
  </si>
  <si>
    <t>3-17</t>
  </si>
  <si>
    <t>Nata hato viejo</t>
  </si>
  <si>
    <t>3-18</t>
  </si>
  <si>
    <t>Queso amarillo barra de 3 kls.</t>
  </si>
  <si>
    <t>BARRAS</t>
  </si>
  <si>
    <t>3-19</t>
  </si>
  <si>
    <t>Queso blanco paisa barra de 3 kls.</t>
  </si>
  <si>
    <t>3-20</t>
  </si>
  <si>
    <t xml:space="preserve">Queso blanco semiduro </t>
  </si>
  <si>
    <t>3-21</t>
  </si>
  <si>
    <t>Queso cheddar.para fundir</t>
  </si>
  <si>
    <t>3-22</t>
  </si>
  <si>
    <t>Queso crema caja de 10 kls.</t>
  </si>
  <si>
    <t>3-23</t>
  </si>
  <si>
    <t>Queso crema GABY  200 grs</t>
  </si>
  <si>
    <t>35 kg</t>
  </si>
  <si>
    <t>3-24</t>
  </si>
  <si>
    <t>Queso de año rallado.</t>
  </si>
  <si>
    <t>3-25</t>
  </si>
  <si>
    <t>Queso de mano .</t>
  </si>
  <si>
    <t>Queso Palmita.</t>
  </si>
  <si>
    <t>3-26</t>
  </si>
  <si>
    <t>Queso parmesano.</t>
  </si>
  <si>
    <t>3-27</t>
  </si>
  <si>
    <t>Queso requeson o ricotta.</t>
  </si>
  <si>
    <t>3-28</t>
  </si>
  <si>
    <t>Queso roquefor.</t>
  </si>
  <si>
    <t>3-29</t>
  </si>
  <si>
    <t>Quezo mozzarela barra de 3 kls.</t>
  </si>
  <si>
    <t>3-30</t>
  </si>
  <si>
    <t>Suero</t>
  </si>
  <si>
    <t>3-31</t>
  </si>
  <si>
    <t>Yogurt natural</t>
  </si>
  <si>
    <t>SUB - TOTAL LACTEOS</t>
  </si>
  <si>
    <t>GRANOS</t>
  </si>
  <si>
    <t>4-01</t>
  </si>
  <si>
    <t>Ajonjoli.</t>
  </si>
  <si>
    <t>4-02</t>
  </si>
  <si>
    <t>Arroz empaques de 1 kls.</t>
  </si>
  <si>
    <t>4-03</t>
  </si>
  <si>
    <t>Arvejas amarillas empaques de 1 kls.</t>
  </si>
  <si>
    <t>4-04</t>
  </si>
  <si>
    <t>Arvejas verdes empaque de 1 kls.</t>
  </si>
  <si>
    <t>Caraotas blancas empaque de 1Kls.</t>
  </si>
  <si>
    <t>4-05</t>
  </si>
  <si>
    <t>Caraotas negras empaque de 1 kls.</t>
  </si>
  <si>
    <t>4-06</t>
  </si>
  <si>
    <t>Caraotas rojas empaque de 1 kls.</t>
  </si>
  <si>
    <t>4-07</t>
  </si>
  <si>
    <t>Frijoles empaque de 1 kls.</t>
  </si>
  <si>
    <t>4-08</t>
  </si>
  <si>
    <t>Garbanzos empaque de 1 kls.</t>
  </si>
  <si>
    <t>4-09</t>
  </si>
  <si>
    <t>Lentejas empaque de 1 lts.</t>
  </si>
  <si>
    <t>SUB - TOTAL GRANOS</t>
  </si>
  <si>
    <t>CONDIMENTOS Y ESPECIAS</t>
  </si>
  <si>
    <t>5-01</t>
  </si>
  <si>
    <t>anis semillas</t>
  </si>
  <si>
    <t>5-02</t>
  </si>
  <si>
    <t>Azucar bolsa de 100 papeletas de 1 grs.</t>
  </si>
  <si>
    <t>5-03</t>
  </si>
  <si>
    <t>Azucar empaque de 1 kls.</t>
  </si>
  <si>
    <t>5-04</t>
  </si>
  <si>
    <t>Azucar light Esplenda de 100 papeletas de 1 gr.</t>
  </si>
  <si>
    <t>5-05</t>
  </si>
  <si>
    <t>Azucar moscavada de saco de 50 kls.</t>
  </si>
  <si>
    <t>5-06</t>
  </si>
  <si>
    <t>Bicarbonato.</t>
  </si>
  <si>
    <t>5-07</t>
  </si>
  <si>
    <t>Cacao en polvo</t>
  </si>
  <si>
    <t>5-08</t>
  </si>
  <si>
    <t>Canela en polvo.</t>
  </si>
  <si>
    <t>5-09</t>
  </si>
  <si>
    <t>Canela entera.</t>
  </si>
  <si>
    <t>5-10</t>
  </si>
  <si>
    <t>Carmencita</t>
  </si>
  <si>
    <t>5-11</t>
  </si>
  <si>
    <t>Chocolate granulado.</t>
  </si>
  <si>
    <t>5-12</t>
  </si>
  <si>
    <t>Clavos de olor.</t>
  </si>
  <si>
    <t>5-13</t>
  </si>
  <si>
    <t>Comino.</t>
  </si>
  <si>
    <t>5-14</t>
  </si>
  <si>
    <t>Cremor tartaro</t>
  </si>
  <si>
    <t>5-15</t>
  </si>
  <si>
    <t xml:space="preserve">Curcuma </t>
  </si>
  <si>
    <t>5-16</t>
  </si>
  <si>
    <t>Curry.</t>
  </si>
  <si>
    <t>5-17</t>
  </si>
  <si>
    <t>Estragon.seco</t>
  </si>
  <si>
    <t>5-18</t>
  </si>
  <si>
    <t>Finazucar pandock</t>
  </si>
  <si>
    <t>5-19</t>
  </si>
  <si>
    <t>Hojas de laurel.</t>
  </si>
  <si>
    <t>5-20</t>
  </si>
  <si>
    <t>Nuez moscada entera.</t>
  </si>
  <si>
    <t>5-21</t>
  </si>
  <si>
    <t>Onoto.en grano</t>
  </si>
  <si>
    <t>5-22</t>
  </si>
  <si>
    <t>Oregano en ENTERO</t>
  </si>
  <si>
    <t>5-23</t>
  </si>
  <si>
    <t>Oregano en polvo</t>
  </si>
  <si>
    <t>5-24</t>
  </si>
  <si>
    <t>Papelon.</t>
  </si>
  <si>
    <t>5-25</t>
  </si>
  <si>
    <t>Paprica.</t>
  </si>
  <si>
    <t>5-26</t>
  </si>
  <si>
    <t>Pimienta blanca en granos.</t>
  </si>
  <si>
    <t>5-27</t>
  </si>
  <si>
    <t>Pimienta blanca en polvo.</t>
  </si>
  <si>
    <t>5-28</t>
  </si>
  <si>
    <t>Pimienta negra en granos.</t>
  </si>
  <si>
    <t>5-29</t>
  </si>
  <si>
    <t>Pimienta negra en polvo.</t>
  </si>
  <si>
    <t>5-30</t>
  </si>
  <si>
    <t>Pimienta guayabita.</t>
  </si>
  <si>
    <t>5-31</t>
  </si>
  <si>
    <t>Romero seco.</t>
  </si>
  <si>
    <t>5-32</t>
  </si>
  <si>
    <t>Sal empaque de 1 kl.</t>
  </si>
  <si>
    <t>5-33</t>
  </si>
  <si>
    <t>Salvia.</t>
  </si>
  <si>
    <t>5-34</t>
  </si>
  <si>
    <t>Tomillo.</t>
  </si>
  <si>
    <t>5-35</t>
  </si>
  <si>
    <t>Vainilla.</t>
  </si>
  <si>
    <t>SUB - TOTAL CONDIMENTOS Y ESPECIAS</t>
  </si>
  <si>
    <t>CEREALES.</t>
  </si>
  <si>
    <t>6-01</t>
  </si>
  <si>
    <t>All Bran caja d 300 grs.</t>
  </si>
  <si>
    <t>6-02</t>
  </si>
  <si>
    <t>Avena instantanea pote de 350 grs.</t>
  </si>
  <si>
    <t>6-03</t>
  </si>
  <si>
    <t>Avena en hojuela bolda de 800 grs.</t>
  </si>
  <si>
    <t>6-04</t>
  </si>
  <si>
    <t>Crema de arroz pote de 900 grs.</t>
  </si>
  <si>
    <t>6-05</t>
  </si>
  <si>
    <t>Cerelac lata de 500GRS</t>
  </si>
  <si>
    <t>6-06</t>
  </si>
  <si>
    <t>Corn Flakes caja de 500 grs.</t>
  </si>
  <si>
    <t>6-07</t>
  </si>
  <si>
    <t>Frescavena 400GRS.</t>
  </si>
  <si>
    <t>6-08</t>
  </si>
  <si>
    <t>Fororo bolsa de 1 kls.</t>
  </si>
  <si>
    <t>6-09</t>
  </si>
  <si>
    <t>Maizina.800grs</t>
  </si>
  <si>
    <t>6-10</t>
  </si>
  <si>
    <t>Musli variado caja de 300 grs.</t>
  </si>
  <si>
    <t>6-11</t>
  </si>
  <si>
    <t>Special K ceja de 310 grs.</t>
  </si>
  <si>
    <t>6-12</t>
  </si>
  <si>
    <t>Zucarita caja de 500 grs.</t>
  </si>
  <si>
    <t xml:space="preserve">SUB - TOTAL CEREALES </t>
  </si>
  <si>
    <t>BEBIDAS</t>
  </si>
  <si>
    <t>7-01</t>
  </si>
  <si>
    <t>Agua nevada de 0,300 LTS.</t>
  </si>
  <si>
    <t>7-02</t>
  </si>
  <si>
    <t>Bag in box chinoto de 18 lts.</t>
  </si>
  <si>
    <t>7-03</t>
  </si>
  <si>
    <t>Bag in box coca cola de 18 lts.</t>
  </si>
  <si>
    <t>7-04</t>
  </si>
  <si>
    <t>Bag in box cocacola light de 9 lts.</t>
  </si>
  <si>
    <t>7-05</t>
  </si>
  <si>
    <t>Bag in box frescolita de 18 lts.</t>
  </si>
  <si>
    <t>7-06</t>
  </si>
  <si>
    <t>Bag in box naranja de 9 lts.</t>
  </si>
  <si>
    <t>7-07</t>
  </si>
  <si>
    <t>Bag in box nestea de 9 lts.</t>
  </si>
  <si>
    <t>7-08</t>
  </si>
  <si>
    <t xml:space="preserve">Bombona de gas CO2. </t>
  </si>
  <si>
    <t>7-09</t>
  </si>
  <si>
    <t>Botella de refresco de 2 lts.( sabores surtidos)</t>
  </si>
  <si>
    <t>7-11</t>
  </si>
  <si>
    <t>Café empaque 100grs</t>
  </si>
  <si>
    <t>7-12</t>
  </si>
  <si>
    <t>Café empaque 200 grs.</t>
  </si>
  <si>
    <t>7-13</t>
  </si>
  <si>
    <t xml:space="preserve">Café empaque 500grs </t>
  </si>
  <si>
    <t>7-14</t>
  </si>
  <si>
    <t>Chocolate de taza papeleta de 125 grs.</t>
  </si>
  <si>
    <t>7-15</t>
  </si>
  <si>
    <t>Concentrado de fruta de 4lts.</t>
  </si>
  <si>
    <t>7-16</t>
  </si>
  <si>
    <t>Manzanilla caja de 100 und.</t>
  </si>
  <si>
    <t>7-17</t>
  </si>
  <si>
    <t>Nescafe instantaneo de 170 grs.</t>
  </si>
  <si>
    <t>7-18</t>
  </si>
  <si>
    <t>Tang en polvo bolsa de 660 grs.</t>
  </si>
  <si>
    <t>7-19</t>
  </si>
  <si>
    <t>Te lipton caja de 100 und.</t>
  </si>
  <si>
    <t>7-20</t>
  </si>
  <si>
    <t>Te tilo 20 bolsitas cajita</t>
  </si>
  <si>
    <t>7-21</t>
  </si>
  <si>
    <t xml:space="preserve">Toddy bolsa de 2kg </t>
  </si>
  <si>
    <t>7-22</t>
  </si>
  <si>
    <t>Zuko bolsa de 420 grs.</t>
  </si>
  <si>
    <t>SUB - TOTAL BEBIDAS</t>
  </si>
  <si>
    <t>FRUTAS Y VEGETALES</t>
  </si>
  <si>
    <t>8-01</t>
  </si>
  <si>
    <t>Acelgas.</t>
  </si>
  <si>
    <t>8-02</t>
  </si>
  <si>
    <t>Aguacates.</t>
  </si>
  <si>
    <t>8-03</t>
  </si>
  <si>
    <t>Aji dulce.</t>
  </si>
  <si>
    <t>8-04</t>
  </si>
  <si>
    <t>Ajo porro.</t>
  </si>
  <si>
    <t>8-05</t>
  </si>
  <si>
    <t>Ajo.</t>
  </si>
  <si>
    <t>8-06</t>
  </si>
  <si>
    <t>Albahaca.</t>
  </si>
  <si>
    <t>8-07</t>
  </si>
  <si>
    <t>Apio criollo.</t>
  </si>
  <si>
    <t>8-08</t>
  </si>
  <si>
    <t>Auyama.</t>
  </si>
  <si>
    <t>8-09</t>
  </si>
  <si>
    <t>Batata.</t>
  </si>
  <si>
    <t>8-10</t>
  </si>
  <si>
    <t>Berengena.</t>
  </si>
  <si>
    <t>8-11</t>
  </si>
  <si>
    <t>Brocoli.</t>
  </si>
  <si>
    <t>8-12</t>
  </si>
  <si>
    <t>Brotes de lentejas.</t>
  </si>
  <si>
    <t>8-13</t>
  </si>
  <si>
    <t>Calabacin.</t>
  </si>
  <si>
    <t>8-14</t>
  </si>
  <si>
    <t>Cambur.</t>
  </si>
  <si>
    <t>8-15</t>
  </si>
  <si>
    <t>Cebolla morada.</t>
  </si>
  <si>
    <t>8-16</t>
  </si>
  <si>
    <t>Cebolla.</t>
  </si>
  <si>
    <t>8-17</t>
  </si>
  <si>
    <t>Cebollin.</t>
  </si>
  <si>
    <t>8-18</t>
  </si>
  <si>
    <t>Celery.</t>
  </si>
  <si>
    <t>8-19</t>
  </si>
  <si>
    <t>Champignon natural</t>
  </si>
  <si>
    <t>8-20</t>
  </si>
  <si>
    <t>Chayota</t>
  </si>
  <si>
    <t>8-21</t>
  </si>
  <si>
    <t>Cilantro.</t>
  </si>
  <si>
    <t>8-22</t>
  </si>
  <si>
    <t>Coco.</t>
  </si>
  <si>
    <t>8-23</t>
  </si>
  <si>
    <t>Coliflor.</t>
  </si>
  <si>
    <t>8-24</t>
  </si>
  <si>
    <t>Durazno.</t>
  </si>
  <si>
    <t>8-25</t>
  </si>
  <si>
    <t>Espinacas.</t>
  </si>
  <si>
    <t>8-26</t>
  </si>
  <si>
    <t>Fresas congeladas empaque de 1kls.</t>
  </si>
  <si>
    <t>8-27</t>
  </si>
  <si>
    <t>Fresas.</t>
  </si>
  <si>
    <t>8-28</t>
  </si>
  <si>
    <t>Guanabana (Madura)</t>
  </si>
  <si>
    <t>8-29</t>
  </si>
  <si>
    <t>Guayaba.</t>
  </si>
  <si>
    <t>8-30</t>
  </si>
  <si>
    <t>Guisantes bolsas 1kg</t>
  </si>
  <si>
    <t>8-31</t>
  </si>
  <si>
    <t xml:space="preserve">Jojoto </t>
  </si>
  <si>
    <t>8-32</t>
  </si>
  <si>
    <t>Lechosa.</t>
  </si>
  <si>
    <t>8-33</t>
  </si>
  <si>
    <t>Lechuga Romana.</t>
  </si>
  <si>
    <t>Lechuga Americana</t>
  </si>
  <si>
    <t>8-34</t>
  </si>
  <si>
    <t>Limon.</t>
  </si>
  <si>
    <t>8-35</t>
  </si>
  <si>
    <t>Mandarina.</t>
  </si>
  <si>
    <t>8-36</t>
  </si>
  <si>
    <t>Mango.</t>
  </si>
  <si>
    <t>8-37</t>
  </si>
  <si>
    <t>Manzanas Pequeñas en Caja de 154 und</t>
  </si>
  <si>
    <t>8-38</t>
  </si>
  <si>
    <t>Melon.</t>
  </si>
  <si>
    <t>8-39</t>
  </si>
  <si>
    <t>Nabo.</t>
  </si>
  <si>
    <t>8-40</t>
  </si>
  <si>
    <t>Naranjas en sacos de 200 und.</t>
  </si>
  <si>
    <t>SACO</t>
  </si>
  <si>
    <t>8-41</t>
  </si>
  <si>
    <t>Ñame.</t>
  </si>
  <si>
    <t>8-42</t>
  </si>
  <si>
    <t>Ocumo blanco.</t>
  </si>
  <si>
    <t>8-43</t>
  </si>
  <si>
    <t>Ocumo chino.</t>
  </si>
  <si>
    <t>8-44</t>
  </si>
  <si>
    <t>Papa.</t>
  </si>
  <si>
    <t>8-45</t>
  </si>
  <si>
    <t>Papas congeladas p/ freir de 1 kls.</t>
  </si>
  <si>
    <t>8-46</t>
  </si>
  <si>
    <t>Parchitas.</t>
  </si>
  <si>
    <t>8-47</t>
  </si>
  <si>
    <t>Patilla.</t>
  </si>
  <si>
    <t>8-48</t>
  </si>
  <si>
    <t>Pepino.</t>
  </si>
  <si>
    <t>8-49</t>
  </si>
  <si>
    <t>Pera.</t>
  </si>
  <si>
    <t>8-50</t>
  </si>
  <si>
    <t>Perejil.</t>
  </si>
  <si>
    <t>8-51</t>
  </si>
  <si>
    <t>Pimenton.</t>
  </si>
  <si>
    <t>8-52</t>
  </si>
  <si>
    <t>Piña.</t>
  </si>
  <si>
    <t>8-53</t>
  </si>
  <si>
    <t>Platanos.</t>
  </si>
  <si>
    <t>8-54</t>
  </si>
  <si>
    <t xml:space="preserve">Pulpa de frutas </t>
  </si>
  <si>
    <t>8-55</t>
  </si>
  <si>
    <t>Remolachas.</t>
  </si>
  <si>
    <t>8-56</t>
  </si>
  <si>
    <t>Repollo blanco.</t>
  </si>
  <si>
    <t>8-57</t>
  </si>
  <si>
    <t>Repollo morado.</t>
  </si>
  <si>
    <t>8-58</t>
  </si>
  <si>
    <t>Romero Fresco.</t>
  </si>
  <si>
    <t>8-59</t>
  </si>
  <si>
    <t>Tomates.</t>
  </si>
  <si>
    <t>8-60</t>
  </si>
  <si>
    <t>Uvas Importadas.</t>
  </si>
  <si>
    <t>8-61</t>
  </si>
  <si>
    <t>Vainitas.</t>
  </si>
  <si>
    <t>8-62</t>
  </si>
  <si>
    <t>Vegetales mixtos empaque de 1 kls.</t>
  </si>
  <si>
    <t>8-63</t>
  </si>
  <si>
    <t>Yuca congelada empaque de 1 kls.</t>
  </si>
  <si>
    <t>8-64</t>
  </si>
  <si>
    <t>Zanahoria.</t>
  </si>
  <si>
    <t>8-65</t>
  </si>
  <si>
    <t>SUB - TOTAL FRUTAS Y VEGETALES</t>
  </si>
  <si>
    <t>CONFITURAS</t>
  </si>
  <si>
    <t>9-01</t>
  </si>
  <si>
    <t>Almendras fileteadas.</t>
  </si>
  <si>
    <t>9-02</t>
  </si>
  <si>
    <t>Avellanas</t>
  </si>
  <si>
    <t>9-03</t>
  </si>
  <si>
    <t>Caramelos de menta.</t>
  </si>
  <si>
    <t>9-04</t>
  </si>
  <si>
    <t>Caramelos surtidos.</t>
  </si>
  <si>
    <t>9-05</t>
  </si>
  <si>
    <t>Cerezas marrasquinas 4,5 kgs.</t>
  </si>
  <si>
    <t>9-06</t>
  </si>
  <si>
    <t>Chocolate cri cri</t>
  </si>
  <si>
    <t>9-07</t>
  </si>
  <si>
    <t>Chocolate de leche caja de 24 und.</t>
  </si>
  <si>
    <t>9-08</t>
  </si>
  <si>
    <t>Ciruelas pasas.</t>
  </si>
  <si>
    <t>9-09</t>
  </si>
  <si>
    <t>Coco rallado.</t>
  </si>
  <si>
    <t>9-10</t>
  </si>
  <si>
    <t>Cotufas de microondas.</t>
  </si>
  <si>
    <t>9-11</t>
  </si>
  <si>
    <t>Doritos y rufles. Paquetes de 12 und. ( tiras )</t>
  </si>
  <si>
    <t>9-12</t>
  </si>
  <si>
    <t>Flan Kilo</t>
  </si>
  <si>
    <t>9-13</t>
  </si>
  <si>
    <t>Frutas confitadas.</t>
  </si>
  <si>
    <t>9-14</t>
  </si>
  <si>
    <t>Galletas belvita cambur paquete</t>
  </si>
  <si>
    <t>9-15</t>
  </si>
  <si>
    <t>Galletas belvita fresa paquete</t>
  </si>
  <si>
    <t>9-16</t>
  </si>
  <si>
    <t>Galletas chip's ahoy caja de 24 und.</t>
  </si>
  <si>
    <t>9-17</t>
  </si>
  <si>
    <t>Galletas club social caja de 16 und.</t>
  </si>
  <si>
    <t>9-18</t>
  </si>
  <si>
    <t>Galletas club social integral caja de 16 und.</t>
  </si>
  <si>
    <t>9-19</t>
  </si>
  <si>
    <t>Galletas cocostte caja de 24 und.</t>
  </si>
  <si>
    <t>9-20</t>
  </si>
  <si>
    <t>Galletas de soda caja de 16 und.</t>
  </si>
  <si>
    <t>9-21</t>
  </si>
  <si>
    <t>Galletas hony bran caja de 16 und.</t>
  </si>
  <si>
    <t>9-22</t>
  </si>
  <si>
    <t>Galletas kraker bran caja de 24 und.</t>
  </si>
  <si>
    <t>9-23</t>
  </si>
  <si>
    <t>Galletas maria caja de 24 und.</t>
  </si>
  <si>
    <t>9-24</t>
  </si>
  <si>
    <t>Galletas marilu caja de 24 und.</t>
  </si>
  <si>
    <t>9-25</t>
  </si>
  <si>
    <t>Galletas oreo de chocolate de 24 und.</t>
  </si>
  <si>
    <t>9-26</t>
  </si>
  <si>
    <t>Galletas oreo de vainilla caja de 24 und.</t>
  </si>
  <si>
    <t>9-27</t>
  </si>
  <si>
    <t>Galletas samba caja de 20 und.</t>
  </si>
  <si>
    <t>9-28</t>
  </si>
  <si>
    <t>Gelatina de sabores.</t>
  </si>
  <si>
    <t>9-29</t>
  </si>
  <si>
    <t>Gelatina sin sabor.7,5grs</t>
  </si>
  <si>
    <t>9-30</t>
  </si>
  <si>
    <t>Lluvia de colores</t>
  </si>
  <si>
    <t>9-31</t>
  </si>
  <si>
    <t>Mani pelado. Solo salado (JACKS ROJO)</t>
  </si>
  <si>
    <t>9-32</t>
  </si>
  <si>
    <t>Mani picado para postres</t>
  </si>
  <si>
    <t>9-33</t>
  </si>
  <si>
    <t>Nueces.peladas</t>
  </si>
  <si>
    <t>9-34</t>
  </si>
  <si>
    <t>Pudin kilo</t>
  </si>
  <si>
    <t>9-35</t>
  </si>
  <si>
    <t>Torontos</t>
  </si>
  <si>
    <t>9-36</t>
  </si>
  <si>
    <t>Uvas pasas.</t>
  </si>
  <si>
    <t>SUB - TOTAL CONFITERIA</t>
  </si>
  <si>
    <t>PRESERVADOS</t>
  </si>
  <si>
    <t>10-01</t>
  </si>
  <si>
    <t>Granadina botella de 750 ml.</t>
  </si>
  <si>
    <t>10-02</t>
  </si>
  <si>
    <t>Mermeladas surtidas</t>
  </si>
  <si>
    <t>10-03</t>
  </si>
  <si>
    <t>Miel de abeja botella de 500 ml.</t>
  </si>
  <si>
    <t>10-04</t>
  </si>
  <si>
    <t>Sirope de chocolate hershey.</t>
  </si>
  <si>
    <t>10-05</t>
  </si>
  <si>
    <t>Sirope de fresa.</t>
  </si>
  <si>
    <t>10-06</t>
  </si>
  <si>
    <t>Sirope natural de 709 ml.</t>
  </si>
  <si>
    <t>10-07</t>
  </si>
  <si>
    <t>Syrup maple</t>
  </si>
  <si>
    <t>SUB - TOTAL PRESEVADOS</t>
  </si>
  <si>
    <t>HARINA</t>
  </si>
  <si>
    <t>11-01</t>
  </si>
  <si>
    <t>Casabe paquete</t>
  </si>
  <si>
    <t>11-02</t>
  </si>
  <si>
    <t xml:space="preserve">Esencias artificiales </t>
  </si>
  <si>
    <t>11-03</t>
  </si>
  <si>
    <t>Gelatina limon kilo</t>
  </si>
  <si>
    <t>11-04</t>
  </si>
  <si>
    <t>Harina de trigo leudante de 1 kls.</t>
  </si>
  <si>
    <t>11-05</t>
  </si>
  <si>
    <t>Harina pan de 1 kls.</t>
  </si>
  <si>
    <t>11-06</t>
  </si>
  <si>
    <t>Harina todo uso 1 Kl</t>
  </si>
  <si>
    <t>11-07</t>
  </si>
  <si>
    <t>Levadura instantanea dulce/salada.</t>
  </si>
  <si>
    <t>11-08</t>
  </si>
  <si>
    <t>11-09</t>
  </si>
  <si>
    <t>Mezcla para arepas dulces</t>
  </si>
  <si>
    <t>11-10</t>
  </si>
  <si>
    <t>Mezcla para cachapas de 250 grs.</t>
  </si>
  <si>
    <t>11-11</t>
  </si>
  <si>
    <t xml:space="preserve">pan de perro </t>
  </si>
  <si>
    <t>11-12</t>
  </si>
  <si>
    <t>Pan de sandwich</t>
  </si>
  <si>
    <t>11-13</t>
  </si>
  <si>
    <t>Pan rallado</t>
  </si>
  <si>
    <t>11-14</t>
  </si>
  <si>
    <t>Polvo hornear Bakerman.</t>
  </si>
  <si>
    <t>11-15</t>
  </si>
  <si>
    <t>Relax puratos</t>
  </si>
  <si>
    <t>11-16</t>
  </si>
  <si>
    <t>Satin cream cake</t>
  </si>
  <si>
    <t>11-17</t>
  </si>
  <si>
    <t>Tortillas Old El Paso ( no integral )</t>
  </si>
  <si>
    <t>SUB - TOTAL HARINAS</t>
  </si>
  <si>
    <t>PASTAS</t>
  </si>
  <si>
    <t>12-01</t>
  </si>
  <si>
    <t>Canelones  de 500 grs.</t>
  </si>
  <si>
    <t>12-02</t>
  </si>
  <si>
    <t>Caracolitos paquete de 1 kls.</t>
  </si>
  <si>
    <t>12-03</t>
  </si>
  <si>
    <t>Coditos paquete de 1 kls.</t>
  </si>
  <si>
    <t>12-04</t>
  </si>
  <si>
    <t>Fideos cabello de angel paquete de 250 grs.</t>
  </si>
  <si>
    <t>12-05</t>
  </si>
  <si>
    <t>Fideos de arroz paquete de 250 grs.</t>
  </si>
  <si>
    <t>12-06</t>
  </si>
  <si>
    <t>Fetuccini ( al huevo, blancos)</t>
  </si>
  <si>
    <t>12-07</t>
  </si>
  <si>
    <t>Liguini kilo</t>
  </si>
  <si>
    <t>12-08</t>
  </si>
  <si>
    <t>Pasta dedal 1kg</t>
  </si>
  <si>
    <t>12-09</t>
  </si>
  <si>
    <t>pasta para pasticho</t>
  </si>
  <si>
    <t>12-10</t>
  </si>
  <si>
    <t>Plumita paquete de 1 kl.</t>
  </si>
  <si>
    <t>12-11</t>
  </si>
  <si>
    <t>Tornillitos paquete de 1 kl.</t>
  </si>
  <si>
    <t>12-12</t>
  </si>
  <si>
    <t>Vermicelli paquete de 1 kl.</t>
  </si>
  <si>
    <t>SUB - TOTAL PASTAS</t>
  </si>
  <si>
    <t>CARNE DE RES</t>
  </si>
  <si>
    <t>13-01</t>
  </si>
  <si>
    <t>Carne molida.</t>
  </si>
  <si>
    <t>13-02</t>
  </si>
  <si>
    <t>Carne para esmechar.</t>
  </si>
  <si>
    <t>13-03</t>
  </si>
  <si>
    <t>Carne para guisar.</t>
  </si>
  <si>
    <t>13-04</t>
  </si>
  <si>
    <t>chorizo carupanero</t>
  </si>
  <si>
    <t>13-05</t>
  </si>
  <si>
    <t>Chorizo de res.</t>
  </si>
  <si>
    <t>13-06</t>
  </si>
  <si>
    <t>Chuleta de res.</t>
  </si>
  <si>
    <t>13-07</t>
  </si>
  <si>
    <t>Costilla de res.</t>
  </si>
  <si>
    <t>13-08</t>
  </si>
  <si>
    <t>Higado de res</t>
  </si>
  <si>
    <t>13-09</t>
  </si>
  <si>
    <t>Hueso ahumado</t>
  </si>
  <si>
    <t>13-10</t>
  </si>
  <si>
    <t>Lomito entero de res.</t>
  </si>
  <si>
    <t>13-11</t>
  </si>
  <si>
    <t>Morcilla</t>
  </si>
  <si>
    <t>13-12</t>
  </si>
  <si>
    <t>Muchacho redondo.</t>
  </si>
  <si>
    <t>13-13</t>
  </si>
  <si>
    <t>Osobuco.</t>
  </si>
  <si>
    <t>13-14</t>
  </si>
  <si>
    <t>Panza de res</t>
  </si>
  <si>
    <t>13-15</t>
  </si>
  <si>
    <t>Rabo de res</t>
  </si>
  <si>
    <t>13-16</t>
  </si>
  <si>
    <t>Pulpa negra.</t>
  </si>
  <si>
    <t>13-17</t>
  </si>
  <si>
    <t>Solomo de cuerito.</t>
  </si>
  <si>
    <t>13-18</t>
  </si>
  <si>
    <t>T-bone steak.</t>
  </si>
  <si>
    <t>SUB - TOTAL CARNE DE RES</t>
  </si>
  <si>
    <t>OVINO, CAPRINO Y PORCINO</t>
  </si>
  <si>
    <t>14-01</t>
  </si>
  <si>
    <t>Chivo picado.</t>
  </si>
  <si>
    <t>14-02</t>
  </si>
  <si>
    <t>Chorizo de cerdo</t>
  </si>
  <si>
    <t>14-03</t>
  </si>
  <si>
    <t>Chuleta ahumada de cerdo.</t>
  </si>
  <si>
    <t>14-04</t>
  </si>
  <si>
    <t>Chuleta de cerdo.</t>
  </si>
  <si>
    <t>14-05</t>
  </si>
  <si>
    <t>Costilla de cerdo.</t>
  </si>
  <si>
    <t>14-06</t>
  </si>
  <si>
    <t>14-07</t>
  </si>
  <si>
    <t>Oreja de cochino</t>
  </si>
  <si>
    <t>14-08</t>
  </si>
  <si>
    <t>Pata de cerdo</t>
  </si>
  <si>
    <t>14-09</t>
  </si>
  <si>
    <t>Pernil de cerdo con hueso.</t>
  </si>
  <si>
    <t>14-10</t>
  </si>
  <si>
    <t>Pierna de cordero.</t>
  </si>
  <si>
    <t>14-11</t>
  </si>
  <si>
    <t xml:space="preserve">Piernas jamon serrano (PIERNA) </t>
  </si>
  <si>
    <t>SUB - TOTAL OVINOS, CAPRINOS Y PORCINOS</t>
  </si>
  <si>
    <t>EMBUTIDOS</t>
  </si>
  <si>
    <t>15-01</t>
  </si>
  <si>
    <t>Boloña de carne.</t>
  </si>
  <si>
    <t>15-02</t>
  </si>
  <si>
    <t>Boloña de pollo.</t>
  </si>
  <si>
    <t>15-03</t>
  </si>
  <si>
    <t>Chistorras</t>
  </si>
  <si>
    <t>15-04</t>
  </si>
  <si>
    <t>Chorizo español</t>
  </si>
  <si>
    <t>15-05</t>
  </si>
  <si>
    <t>Jamon de pierna.</t>
  </si>
  <si>
    <t>15-06</t>
  </si>
  <si>
    <t>Mortadela de pollo.</t>
  </si>
  <si>
    <t>15-07</t>
  </si>
  <si>
    <t>Salchichas picantes debrecziner paq 350 grs</t>
  </si>
  <si>
    <t>15-08</t>
  </si>
  <si>
    <t xml:space="preserve">Salchichas. </t>
  </si>
  <si>
    <t>15-09</t>
  </si>
  <si>
    <t>Salchichon. 1 KG</t>
  </si>
  <si>
    <t>PIEZAS</t>
  </si>
  <si>
    <t>15-10</t>
  </si>
  <si>
    <t>Tocineta.</t>
  </si>
  <si>
    <t>SUB - TOTAL EMBUTIDOS</t>
  </si>
  <si>
    <t>AVES</t>
  </si>
  <si>
    <t>16-01</t>
  </si>
  <si>
    <t>Chorizo de pollo.</t>
  </si>
  <si>
    <t>16-02</t>
  </si>
  <si>
    <t>Gallina entera ( 3 - 7 kls.)</t>
  </si>
  <si>
    <t>16-03</t>
  </si>
  <si>
    <t>lomo de pollo molido</t>
  </si>
  <si>
    <t>16-04</t>
  </si>
  <si>
    <t>Pavo entero ( 5 - 7 kls.)</t>
  </si>
  <si>
    <t>16-05</t>
  </si>
  <si>
    <t>Pollo entero ( 1,7 - 2 kls.)</t>
  </si>
  <si>
    <t>SUB - TOTAL AVES</t>
  </si>
  <si>
    <t>PESCADOS Y MARISCOS</t>
  </si>
  <si>
    <t>17-01</t>
  </si>
  <si>
    <t>Atun lomo.</t>
  </si>
  <si>
    <t>17-02</t>
  </si>
  <si>
    <t>Calamares.</t>
  </si>
  <si>
    <t>17-03</t>
  </si>
  <si>
    <t>Camarones.</t>
  </si>
  <si>
    <t>17-04</t>
  </si>
  <si>
    <t>Cangrejo criollo</t>
  </si>
  <si>
    <t>17-05</t>
  </si>
  <si>
    <t>Cangrejo.</t>
  </si>
  <si>
    <t>17-06</t>
  </si>
  <si>
    <t>Palagar</t>
  </si>
  <si>
    <t>17-07</t>
  </si>
  <si>
    <t>Cazon.</t>
  </si>
  <si>
    <t>17-08</t>
  </si>
  <si>
    <t>Rueda de dorado</t>
  </si>
  <si>
    <t>17-09</t>
  </si>
  <si>
    <t>Filet de corvina.</t>
  </si>
  <si>
    <t>17-10</t>
  </si>
  <si>
    <t>Langostinos.</t>
  </si>
  <si>
    <t>17-11</t>
  </si>
  <si>
    <t>Mejillon con concha.</t>
  </si>
  <si>
    <t>17-12</t>
  </si>
  <si>
    <t>Mejillones limpios.</t>
  </si>
  <si>
    <t>17-13</t>
  </si>
  <si>
    <t>Parguito entero</t>
  </si>
  <si>
    <t>17-14</t>
  </si>
  <si>
    <t>Pepitona.</t>
  </si>
  <si>
    <t>17-15</t>
  </si>
  <si>
    <t>Rueda de sierra</t>
  </si>
  <si>
    <t>17-16</t>
  </si>
  <si>
    <t>Pulpo.</t>
  </si>
  <si>
    <t>17-17</t>
  </si>
  <si>
    <t>Salmon entero fresco (Chileno)</t>
  </si>
  <si>
    <t>17-18</t>
  </si>
  <si>
    <t>Vieiras.</t>
  </si>
  <si>
    <t>SUB - TOTAL PESCADOS Y MARISCOS</t>
  </si>
  <si>
    <t>PAPELERIA Y DESECHABLES</t>
  </si>
  <si>
    <t>SUB-TOTAL:</t>
  </si>
  <si>
    <t>OTROS 10 %</t>
  </si>
  <si>
    <t>18-01</t>
  </si>
  <si>
    <t>Bolsas plasticas de 500 lts.</t>
  </si>
  <si>
    <t>18-02</t>
  </si>
  <si>
    <t>Bolsas plasticas de 200 lts.</t>
  </si>
  <si>
    <t>18-03</t>
  </si>
  <si>
    <t>Bolsas plasticas de 60 lts.</t>
  </si>
  <si>
    <t>18-04</t>
  </si>
  <si>
    <t>Bolsas plasticas de 30 lts.</t>
  </si>
  <si>
    <t>18-05</t>
  </si>
  <si>
    <t>Bolsas de asa de 5 lts.</t>
  </si>
  <si>
    <t>18-06</t>
  </si>
  <si>
    <t>Bandejas de aluminio c/ tapa. 788</t>
  </si>
  <si>
    <t>18-07</t>
  </si>
  <si>
    <t>Capacillos N# 10.</t>
  </si>
  <si>
    <t>18-08</t>
  </si>
  <si>
    <t>Cubierto desechable( Cuchillo ).</t>
  </si>
  <si>
    <t>18-09</t>
  </si>
  <si>
    <t>Cubierto desechable( Cucharillas ).</t>
  </si>
  <si>
    <t xml:space="preserve">Cucharitas plasticas postres selva  </t>
  </si>
  <si>
    <t>18-10</t>
  </si>
  <si>
    <t>Cubierto desechable ( Tenedores )</t>
  </si>
  <si>
    <t>18-11</t>
  </si>
  <si>
    <t>Envoplast.(Bobina).</t>
  </si>
  <si>
    <t>18-12</t>
  </si>
  <si>
    <t>Filtros de café de cesta.</t>
  </si>
  <si>
    <t>18-13</t>
  </si>
  <si>
    <t>Filtros de café tipo cono.</t>
  </si>
  <si>
    <t>18-14</t>
  </si>
  <si>
    <t>Fosforos.</t>
  </si>
  <si>
    <t>18-15</t>
  </si>
  <si>
    <t>Guantes quirurgicos caja de 50 und.</t>
  </si>
  <si>
    <t>18-16</t>
  </si>
  <si>
    <t>Guantes para manejo de quimicos.</t>
  </si>
  <si>
    <t>18-17</t>
  </si>
  <si>
    <t>Papel de aluminio.pequeño 6,7mtrs</t>
  </si>
  <si>
    <t>18-18</t>
  </si>
  <si>
    <t>papel alumino grande industrial</t>
  </si>
  <si>
    <t>18-19</t>
  </si>
  <si>
    <t>Papel encerado.(Bobina).</t>
  </si>
  <si>
    <t>18-20</t>
  </si>
  <si>
    <t>Papel higienico.</t>
  </si>
  <si>
    <t>BULTOS</t>
  </si>
  <si>
    <t>18-21</t>
  </si>
  <si>
    <t>Papel absorvente (Caja).</t>
  </si>
  <si>
    <t>18-22</t>
  </si>
  <si>
    <t>Pabilo.</t>
  </si>
  <si>
    <t>18-23</t>
  </si>
  <si>
    <t>Palillos Mondadientes.cajitas 1x60</t>
  </si>
  <si>
    <t>18-24</t>
  </si>
  <si>
    <t>Palillos para pinchos. Caja de 400 UND</t>
  </si>
  <si>
    <t>18-25</t>
  </si>
  <si>
    <t>Removedores.</t>
  </si>
  <si>
    <t>18-26</t>
  </si>
  <si>
    <t xml:space="preserve">Servilletas. </t>
  </si>
  <si>
    <t>18-27</t>
  </si>
  <si>
    <t>Toallin de rollo.</t>
  </si>
  <si>
    <t>18-28</t>
  </si>
  <si>
    <t>Vasos desechables V-16</t>
  </si>
  <si>
    <t>18-29</t>
  </si>
  <si>
    <t>Vasos desechables V-12</t>
  </si>
  <si>
    <t>18-30</t>
  </si>
  <si>
    <t>Vasos desechables V-10</t>
  </si>
  <si>
    <t>18-31</t>
  </si>
  <si>
    <t>Vasos desechables V-7</t>
  </si>
  <si>
    <t>SUB - TOTAL PAPELERIA Y DESECHABLES</t>
  </si>
  <si>
    <t>CUBIERTERIA Y BAJILLAS</t>
  </si>
  <si>
    <t>19-01</t>
  </si>
  <si>
    <t>Cuchillos.</t>
  </si>
  <si>
    <t>19-02</t>
  </si>
  <si>
    <t>Cucharas para sopa</t>
  </si>
  <si>
    <t>19-03</t>
  </si>
  <si>
    <t>Cucharas para postres.</t>
  </si>
  <si>
    <t>19-04</t>
  </si>
  <si>
    <t>Tenedores.</t>
  </si>
  <si>
    <t>19-05</t>
  </si>
  <si>
    <t>Tazas para sopa pequeñas.</t>
  </si>
  <si>
    <t>Tazas para sopa grandes.</t>
  </si>
  <si>
    <t>19-07</t>
  </si>
  <si>
    <t>Platos llanos para pan.</t>
  </si>
  <si>
    <t>19-08</t>
  </si>
  <si>
    <t>Platos llanos para postres.</t>
  </si>
  <si>
    <t>19-09</t>
  </si>
  <si>
    <t>Vasos.</t>
  </si>
  <si>
    <t>SUB - TOTAL CUBIERTOS Y BAJILLAS</t>
  </si>
  <si>
    <t>ARTICULOS DE ASEO Y LIMPIEZA</t>
  </si>
  <si>
    <t>20-01</t>
  </si>
  <si>
    <t>Araganes.</t>
  </si>
  <si>
    <t>20-02</t>
  </si>
  <si>
    <t>Cepillo para barrer( Escoba).</t>
  </si>
  <si>
    <t>20-03</t>
  </si>
  <si>
    <t>Cepillo de mano para lavar.</t>
  </si>
  <si>
    <t>20-04</t>
  </si>
  <si>
    <t>Cepillo para poceta.</t>
  </si>
  <si>
    <t>20-05</t>
  </si>
  <si>
    <t>Chupon de goma p/pocetas.</t>
  </si>
  <si>
    <t>20-06</t>
  </si>
  <si>
    <t>Esponja de acero.</t>
  </si>
  <si>
    <t>20-07</t>
  </si>
  <si>
    <t>Esponja de alambre.</t>
  </si>
  <si>
    <t>20-08</t>
  </si>
  <si>
    <t>Esponja doble uso.</t>
  </si>
  <si>
    <t>20-09</t>
  </si>
  <si>
    <t>Esponja jabonosa.</t>
  </si>
  <si>
    <t>20-10</t>
  </si>
  <si>
    <t>Esponja verde.</t>
  </si>
  <si>
    <t>20-11</t>
  </si>
  <si>
    <t>Lampazo.</t>
  </si>
  <si>
    <t>20-12</t>
  </si>
  <si>
    <t>Mopas Industriales. Con palo y gancho</t>
  </si>
  <si>
    <t>20-13</t>
  </si>
  <si>
    <t>Pala plastica p/ basura.</t>
  </si>
  <si>
    <t>20-14</t>
  </si>
  <si>
    <t>Paños de cocina.</t>
  </si>
  <si>
    <t>20-15</t>
  </si>
  <si>
    <t>Pañitos amarillos.</t>
  </si>
  <si>
    <t>SUB - TOTAL ARTICULOS DE ASEO Y LIMPIEZA</t>
  </si>
  <si>
    <t>PRODUCTOS DE LIMPIEZA</t>
  </si>
  <si>
    <t>21-01</t>
  </si>
  <si>
    <t>Ajax en polvo.</t>
  </si>
  <si>
    <t>21-02</t>
  </si>
  <si>
    <t>Ajax liquido lavaplatos de 1lts.</t>
  </si>
  <si>
    <t>21-03</t>
  </si>
  <si>
    <t>Ajax liquido pino.</t>
  </si>
  <si>
    <t>21-04</t>
  </si>
  <si>
    <t>Ambientador en aerosol de 475 cc.</t>
  </si>
  <si>
    <t>21-05</t>
  </si>
  <si>
    <t>Ambientador en pastilla p/ baños.</t>
  </si>
  <si>
    <t>21-06</t>
  </si>
  <si>
    <t>Cloro Nevex</t>
  </si>
  <si>
    <t>21-07</t>
  </si>
  <si>
    <t>Desengrasante de 4lts.</t>
  </si>
  <si>
    <t>21-08</t>
  </si>
  <si>
    <t>Detergente en polvo.</t>
  </si>
  <si>
    <t>21-09</t>
  </si>
  <si>
    <t>Jabon de baño de 90 grs.</t>
  </si>
  <si>
    <t>21-10</t>
  </si>
  <si>
    <t>Lavaplatos liquido.axion</t>
  </si>
  <si>
    <t>21-11</t>
  </si>
  <si>
    <t>Limpia horno brocha.</t>
  </si>
  <si>
    <t>21-12</t>
  </si>
  <si>
    <t>Mistolin galon de 3,785 lts.</t>
  </si>
  <si>
    <t>21-13</t>
  </si>
  <si>
    <t>Baygon lata aerosol</t>
  </si>
  <si>
    <t>21-14</t>
  </si>
  <si>
    <t>Pride aerozol de 512 cc.</t>
  </si>
  <si>
    <t>SUB - TOTAL DE LIMPIEZA</t>
  </si>
  <si>
    <t>EXTRAS O ADICIONALES</t>
  </si>
  <si>
    <t>22-01</t>
  </si>
  <si>
    <t>Carbon.</t>
  </si>
  <si>
    <t>SAC.</t>
  </si>
  <si>
    <t>22-02</t>
  </si>
  <si>
    <t>Bactex galon de 3,785 lts.</t>
  </si>
  <si>
    <t>22-03</t>
  </si>
  <si>
    <t>Lark clean cuñete de 20,5 lts.</t>
  </si>
  <si>
    <t>22-04</t>
  </si>
  <si>
    <t>Deter full cuñete de 20,5 lts.</t>
  </si>
  <si>
    <t>22-05</t>
  </si>
  <si>
    <t>Lark Sanitizer cuñete de 20,5 lts.</t>
  </si>
  <si>
    <t>22-06</t>
  </si>
  <si>
    <t>Mascarillas plasticas</t>
  </si>
  <si>
    <t>SUB - TOTAL EXTRAS O ADICIONALES</t>
  </si>
  <si>
    <t>INVENTARIO</t>
  </si>
  <si>
    <t>PRECIO UNITARIO</t>
  </si>
  <si>
    <t>ARTICULO</t>
  </si>
  <si>
    <t>PRECIO</t>
  </si>
  <si>
    <t>MEDIA NOCHE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</si>
  <si>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</si>
  <si>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</si>
  <si>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</si>
  <si>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</si>
  <si>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</si>
  <si>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</si>
  <si>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</si>
  <si>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</si>
  <si>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</si>
  <si>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</si>
  <si>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</si>
  <si>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</si>
  <si>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</si>
  <si>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</si>
  <si>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</si>
  <si>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</si>
  <si>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</si>
  <si>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</si>
  <si>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</si>
  <si>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</si>
  <si>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</si>
  <si>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</si>
  <si>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</si>
  <si>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</si>
  <si>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</si>
  <si>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</si>
  <si>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01-27</t>
  </si>
  <si>
    <t>01-28</t>
  </si>
  <si>
    <t>01-29</t>
  </si>
  <si>
    <t>01-30</t>
  </si>
  <si>
    <t>01-31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</si>
  <si>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</si>
  <si>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</si>
  <si>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</si>
  <si>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</si>
  <si>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</si>
  <si>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</si>
  <si>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</si>
  <si>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</si>
  <si>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</si>
  <si>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</si>
  <si>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</si>
  <si>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</si>
  <si>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</si>
  <si>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02-14</t>
  </si>
  <si>
    <t>02-15</t>
  </si>
  <si>
    <t>02-16</t>
  </si>
  <si>
    <t>02-17</t>
  </si>
  <si>
    <t>02-18</t>
  </si>
  <si>
    <t>02-19</t>
  </si>
  <si>
    <t>02-20</t>
  </si>
  <si>
    <t>02-21</t>
  </si>
  <si>
    <t>02-22</t>
  </si>
  <si>
    <t>02-23</t>
  </si>
  <si>
    <t>02-24</t>
  </si>
  <si>
    <t>03-01</t>
  </si>
  <si>
    <t>03-02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</si>
  <si>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</si>
  <si>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</si>
  <si>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</si>
  <si>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</si>
  <si>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</si>
  <si>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</si>
  <si>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</si>
  <si>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</si>
  <si>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03-11</t>
  </si>
  <si>
    <t>03-12</t>
  </si>
  <si>
    <t>03-13</t>
  </si>
  <si>
    <t>03-14</t>
  </si>
  <si>
    <t>03-15</t>
  </si>
  <si>
    <t>03-16</t>
  </si>
  <si>
    <t>03-17</t>
  </si>
  <si>
    <t>03-18</t>
  </si>
  <si>
    <t>03-19</t>
  </si>
  <si>
    <t>03-20</t>
  </si>
  <si>
    <t>03-21</t>
  </si>
  <si>
    <t>03-22</t>
  </si>
  <si>
    <t>03-23</t>
  </si>
  <si>
    <t>03-24</t>
  </si>
  <si>
    <t>03-25</t>
  </si>
  <si>
    <t>03-26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</si>
  <si>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</si>
  <si>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</si>
  <si>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</si>
  <si>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</si>
  <si>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</si>
  <si>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</si>
  <si>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</si>
  <si>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</si>
  <si>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</si>
  <si>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</si>
  <si>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</si>
  <si>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</si>
  <si>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</si>
  <si>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</si>
  <si>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</si>
  <si>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</si>
  <si>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</si>
  <si>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</si>
  <si>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</si>
  <si>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</si>
  <si>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05-11</t>
  </si>
  <si>
    <t>05-12</t>
  </si>
  <si>
    <t>05-13</t>
  </si>
  <si>
    <t>05-14</t>
  </si>
  <si>
    <t>05-15</t>
  </si>
  <si>
    <t>05-16</t>
  </si>
  <si>
    <t>05-17</t>
  </si>
  <si>
    <t>05-18</t>
  </si>
  <si>
    <t>05-19</t>
  </si>
  <si>
    <t>05-20</t>
  </si>
  <si>
    <t>05-21</t>
  </si>
  <si>
    <t>05-22</t>
  </si>
  <si>
    <t>05-23</t>
  </si>
  <si>
    <t>05-24</t>
  </si>
  <si>
    <t>05-25</t>
  </si>
  <si>
    <t>05-26</t>
  </si>
  <si>
    <t>05-27</t>
  </si>
  <si>
    <t>05-28</t>
  </si>
  <si>
    <t>05-29</t>
  </si>
  <si>
    <t>05-30</t>
  </si>
  <si>
    <t>05-31</t>
  </si>
  <si>
    <t>05-32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</si>
  <si>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</si>
  <si>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</si>
  <si>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</si>
  <si>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</si>
  <si>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</si>
  <si>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</si>
  <si>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</si>
  <si>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</si>
  <si>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</si>
  <si>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06-10</t>
  </si>
  <si>
    <t>06-11</t>
  </si>
  <si>
    <t>06-12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</si>
  <si>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</si>
  <si>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</si>
  <si>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</si>
  <si>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</si>
  <si>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</si>
  <si>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</si>
  <si>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</si>
  <si>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</si>
  <si>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</si>
  <si>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</si>
  <si>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</si>
  <si>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</si>
  <si>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07-13</t>
  </si>
  <si>
    <t>07-14</t>
  </si>
  <si>
    <t>07-15</t>
  </si>
  <si>
    <t>07-16</t>
  </si>
  <si>
    <t>07-17</t>
  </si>
  <si>
    <t>07-18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</si>
  <si>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</si>
  <si>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</si>
  <si>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</si>
  <si>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</si>
  <si>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</si>
  <si>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</si>
  <si>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</si>
  <si>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</si>
  <si>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</si>
  <si>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</si>
  <si>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</si>
  <si>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</si>
  <si>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08-13</t>
  </si>
  <si>
    <t>08-14</t>
  </si>
  <si>
    <t>08-15</t>
  </si>
  <si>
    <t>08-16</t>
  </si>
  <si>
    <t>08-17</t>
  </si>
  <si>
    <t>08-18</t>
  </si>
  <si>
    <t>08-19</t>
  </si>
  <si>
    <t>08-20</t>
  </si>
  <si>
    <t>08-21</t>
  </si>
  <si>
    <t>08-22</t>
  </si>
  <si>
    <t>08-23</t>
  </si>
  <si>
    <t>08-24</t>
  </si>
  <si>
    <t>08-25</t>
  </si>
  <si>
    <t>08-26</t>
  </si>
  <si>
    <t>08-27</t>
  </si>
  <si>
    <t>08-28</t>
  </si>
  <si>
    <t>08-29</t>
  </si>
  <si>
    <t>08-30</t>
  </si>
  <si>
    <t>08-31</t>
  </si>
  <si>
    <t>08-32</t>
  </si>
  <si>
    <t>08-33</t>
  </si>
  <si>
    <t>08-34</t>
  </si>
  <si>
    <t>08-35</t>
  </si>
  <si>
    <t>08-36</t>
  </si>
  <si>
    <t>08-37</t>
  </si>
  <si>
    <t>08-38</t>
  </si>
  <si>
    <t>08-39</t>
  </si>
  <si>
    <t>08-40</t>
  </si>
  <si>
    <t>08-41</t>
  </si>
  <si>
    <t>08-42</t>
  </si>
  <si>
    <t>08-43</t>
  </si>
  <si>
    <t>08-44</t>
  </si>
  <si>
    <t>08-45</t>
  </si>
  <si>
    <t>08-46</t>
  </si>
  <si>
    <t>08-47</t>
  </si>
  <si>
    <t>08-48</t>
  </si>
  <si>
    <t>08-49</t>
  </si>
  <si>
    <t>08-50</t>
  </si>
  <si>
    <t>08-51</t>
  </si>
  <si>
    <t>08-52</t>
  </si>
  <si>
    <t>08-53</t>
  </si>
  <si>
    <t>08-54</t>
  </si>
  <si>
    <t>08-55</t>
  </si>
  <si>
    <t>08-56</t>
  </si>
  <si>
    <t>08-57</t>
  </si>
  <si>
    <t>08-58</t>
  </si>
  <si>
    <t>08-59</t>
  </si>
  <si>
    <t>08-60</t>
  </si>
  <si>
    <t>08-61</t>
  </si>
  <si>
    <t>08-62</t>
  </si>
  <si>
    <t>08-63</t>
  </si>
  <si>
    <t>08-64</t>
  </si>
  <si>
    <t>08-65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</si>
  <si>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</si>
  <si>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</si>
  <si>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</si>
  <si>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</si>
  <si>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</si>
  <si>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</si>
  <si>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</si>
  <si>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</si>
  <si>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</si>
  <si>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</si>
  <si>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</si>
  <si>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</si>
  <si>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</si>
  <si>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</si>
  <si>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</si>
  <si>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</si>
  <si>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</si>
  <si>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09-18</t>
  </si>
  <si>
    <t>09-19</t>
  </si>
  <si>
    <t>09-20</t>
  </si>
  <si>
    <t>09-21</t>
  </si>
  <si>
    <t>09-22</t>
  </si>
  <si>
    <t>09-23</t>
  </si>
  <si>
    <t>09-24</t>
  </si>
  <si>
    <t>09-25</t>
  </si>
  <si>
    <t>09-26</t>
  </si>
  <si>
    <t>09-27</t>
  </si>
  <si>
    <t>09-28</t>
  </si>
  <si>
    <t>10-08</t>
  </si>
  <si>
    <t>12-13</t>
  </si>
  <si>
    <t>12-14</t>
  </si>
  <si>
    <t>15-11</t>
  </si>
  <si>
    <t>15-12</t>
  </si>
  <si>
    <t>15-13</t>
  </si>
  <si>
    <t>15-14</t>
  </si>
  <si>
    <t>15-15</t>
  </si>
  <si>
    <t>02-25</t>
  </si>
  <si>
    <t>02-26</t>
  </si>
  <si>
    <t>02-27</t>
  </si>
  <si>
    <t>02-28</t>
  </si>
  <si>
    <t>02-29</t>
  </si>
  <si>
    <t>02-30</t>
  </si>
  <si>
    <t>02-31</t>
  </si>
  <si>
    <t>02-32</t>
  </si>
  <si>
    <t>COSTO CUBIERTO</t>
  </si>
  <si>
    <t>COFFE BREAK-GALLEY HAND-ELABORACION DE PAN</t>
  </si>
  <si>
    <t>POSTRES</t>
  </si>
  <si>
    <t>COFFE BREAK 1</t>
  </si>
  <si>
    <t>COFFE BREAK 2</t>
  </si>
  <si>
    <t>COFFE BREAK 3</t>
  </si>
  <si>
    <t>COFFE BREAK 4</t>
  </si>
  <si>
    <t>POSTRE 1</t>
  </si>
  <si>
    <t>POSTRE 2</t>
  </si>
  <si>
    <t>POSTRE 3</t>
  </si>
  <si>
    <t>POSTRE 4</t>
  </si>
  <si>
    <t>PLATAFORMA: Petrosauidi SATURN</t>
  </si>
  <si>
    <t>04-11</t>
  </si>
  <si>
    <t>07-23</t>
  </si>
  <si>
    <t>07-24</t>
  </si>
  <si>
    <t>08-67</t>
  </si>
  <si>
    <t>Aceitunas negras rebanada.       1*3 kgr</t>
  </si>
  <si>
    <t>Aceitunas negras enteras.          1*4,3 kgr.</t>
  </si>
  <si>
    <t>Aceitunas verde enteras.             1*3 kgr</t>
  </si>
  <si>
    <t>Aceitunas Verdes rellenas.         1*15 Kgr</t>
  </si>
  <si>
    <t>Champiñones fileteados.            1*3 kgr</t>
  </si>
  <si>
    <t>Pepinillos agridulce enteros.      1*12*340 Gr.</t>
  </si>
  <si>
    <t>Melocoton en almibar.                 1*3 kgr</t>
  </si>
  <si>
    <t>Crema de leche pastelera.           1*12*1Ltr</t>
  </si>
  <si>
    <t>Crema de leche cocina.                1*12*1Ltr</t>
  </si>
  <si>
    <t>Leche descremada l duracion.    1*12*1ltr</t>
  </si>
  <si>
    <t>Leche completa larga duracion.  1*12*1ltr</t>
  </si>
  <si>
    <t>Queso blanco pasteurizado.       Barra 1*3 kgr.</t>
  </si>
  <si>
    <t>Queso para fundir Americano    1*500 gr</t>
  </si>
  <si>
    <t>conos para helado sin sabor      1*600 conos</t>
  </si>
  <si>
    <t>Helados surtidos env cuadrado.    5 ltr</t>
  </si>
  <si>
    <t>Arroz 98% granos enteros.          1*24 kgr.</t>
  </si>
  <si>
    <t>Chile adobada costeña seco.     Bolsa/kgr</t>
  </si>
  <si>
    <t>Paprica. (pimenton español).      Bolsa/kgr</t>
  </si>
  <si>
    <t>Pimienta negra en granos.           Bolsa/kgr</t>
  </si>
  <si>
    <t>Pimienta negra en polvo.             Bolsa/kgr</t>
  </si>
  <si>
    <t>Pimienta blanca en granos.         Bolsa/kgr</t>
  </si>
  <si>
    <t>Pimienta blanca en polvo.            Bolsa/kgr</t>
  </si>
  <si>
    <t>Jugo pasteurizado Variado L g   1*12*1ltrs.</t>
  </si>
  <si>
    <t xml:space="preserve">Café Anzoategui empaque.         1*6*500 Gr. </t>
  </si>
  <si>
    <t>Chocolate de taza Savoy.           1*5*125 Gr</t>
  </si>
  <si>
    <t>08-68</t>
  </si>
  <si>
    <t>08-69</t>
  </si>
  <si>
    <t>08-70</t>
  </si>
  <si>
    <t>08-71</t>
  </si>
  <si>
    <t>Fresas congeladas empaque.    2 kgr.</t>
  </si>
  <si>
    <t xml:space="preserve">Manzanas. Rojas. CAJA            Caja 90 und.  </t>
  </si>
  <si>
    <t>Vegetales mixtos empaque .      1*12*1 kgr.</t>
  </si>
  <si>
    <t>Yuca congelada empaque           1*6*5 kgr.</t>
  </si>
  <si>
    <t>Radiccio (lechuga morada)         kgr.</t>
  </si>
  <si>
    <t>Ciruelas pasas sin hueso            kgr.</t>
  </si>
  <si>
    <t>Gelatina de sabores. Variados   kgr.</t>
  </si>
  <si>
    <t>Galletas club social integral       1*28*9 sobre</t>
  </si>
  <si>
    <t>Galletas club social maiz             1*32*9sobre</t>
  </si>
  <si>
    <t>Galletas club social queso         1*32*9sobre</t>
  </si>
  <si>
    <t>mani picado para postres           kgr.</t>
  </si>
  <si>
    <t>Barra de chocolate amargo El Rey  por kgr.</t>
  </si>
  <si>
    <t>Barra de chocolate blanco El Rey   por kgr.</t>
  </si>
  <si>
    <t>Sirope de fresa Hershey              1*12*680gr</t>
  </si>
  <si>
    <t>Sirope de chocolate hershey     1*12*680gr</t>
  </si>
  <si>
    <t>Sirope de Caramelo Envased   1*12*680gr</t>
  </si>
  <si>
    <t>Levadura salada de L.G.               500 gr</t>
  </si>
  <si>
    <t>Pan árabe pita chawarmas   1*6und</t>
  </si>
  <si>
    <t>Tortilla suave de harina Bimbo. 1*2*12</t>
  </si>
  <si>
    <t>Lagarto con Hueso (osobuco). 1*3 kgr</t>
  </si>
  <si>
    <t>Chuleta ahumada de cerdo.        1*3 kgr</t>
  </si>
  <si>
    <t>Costilla de cerdo baby rack.       1*3 kgr</t>
  </si>
  <si>
    <t>Pernil de cerdo con hueso.         Kgr.</t>
  </si>
  <si>
    <t>Hueso de cerdo ahumado.         1*3 kgr</t>
  </si>
  <si>
    <t>Salchichas para perro calientes.  1*12*450 Gr</t>
  </si>
  <si>
    <t>Salchicha tipo campesina           1*12*450 Gr</t>
  </si>
  <si>
    <t>16-06</t>
  </si>
  <si>
    <t>16-07</t>
  </si>
  <si>
    <t>16-08</t>
  </si>
  <si>
    <t xml:space="preserve">Pollo entero ( 1,9 - 2,2 kls.)          Und/kgr. </t>
  </si>
  <si>
    <t xml:space="preserve">Filet de pollo. (125 gr- 185 gr)       Und/kgr. </t>
  </si>
  <si>
    <t xml:space="preserve">Filet de Pavo (125 gr- 185 gr)       Und/kgr. </t>
  </si>
  <si>
    <t>Aceite Vegetal  de Cunete.      18 Ltrs</t>
  </si>
  <si>
    <t>Aceite Vegetal.       Caja 1*12*1 Ltr</t>
  </si>
  <si>
    <t>Aceite de oliva de lata       Caja 1*20*700ml.</t>
  </si>
  <si>
    <t>Aceite de ajonjolí.       Caja 1*12*330ml</t>
  </si>
  <si>
    <t>Mantequilla torondoy.      200Gr. Und.</t>
  </si>
  <si>
    <t>Margarina.      1*12*500 gr</t>
  </si>
  <si>
    <t>Mantequilla de mani.      1*12*462 gr</t>
  </si>
  <si>
    <t>Margarina con sal el chef.      1*5 kgr</t>
  </si>
  <si>
    <t>Margarina sin sal el chef.       1*5 kgr</t>
  </si>
  <si>
    <t>Manteca vegetal.      1*15 Kgr</t>
  </si>
  <si>
    <t>Mayonesa         1*3,6 kgr</t>
  </si>
  <si>
    <t>Salsa de tomate.     1*4,3 kgr.</t>
  </si>
  <si>
    <t>Salsa de tomate.      1*24*397Gr</t>
  </si>
  <si>
    <t>Mostaza tradicional.      1*4 Kgr</t>
  </si>
  <si>
    <t>Mostaza variada frenchs       1*16*397Gr</t>
  </si>
  <si>
    <t>Salsa french tártara         1*6*473 Gr.</t>
  </si>
  <si>
    <t>Salsa italian        1*6*474 Gr.</t>
  </si>
  <si>
    <t>Salsa 57           1*24*378 Gr.</t>
  </si>
  <si>
    <t>Salsa Inglesa.        1*4ltr</t>
  </si>
  <si>
    <t>Salsa de soya.       1*4ltr</t>
  </si>
  <si>
    <t>Salsa de soya Lkk.      1*12*150ML</t>
  </si>
  <si>
    <t>Salsa picante criolla.      1*12*300 ml</t>
  </si>
  <si>
    <t>Salsa Tabasco.      1*12*150 ml</t>
  </si>
  <si>
    <t>Salsa de ostras.       1*12*510 ml</t>
  </si>
  <si>
    <t>Salsa bbq.         1*24*295 ml</t>
  </si>
  <si>
    <t>Salsa agridulce.        1*12*185 ml</t>
  </si>
  <si>
    <t>Salsa para costilla LKK.    1*12*368 ml</t>
  </si>
  <si>
    <t>Vinagre de vino tinto.         Und 150ml</t>
  </si>
  <si>
    <t>Vinagre Balsamico.        Und 250ml</t>
  </si>
  <si>
    <t>Vinagre de vino blanco.         Und 250ml</t>
  </si>
  <si>
    <t>Vinagre blanco.         1*4 Ltr.</t>
  </si>
  <si>
    <t>Alcaparras.           Bolsa/kgr</t>
  </si>
  <si>
    <t>Champiñones enteros.              1*3 kgr</t>
  </si>
  <si>
    <t>Palmito.         1*3 kgr</t>
  </si>
  <si>
    <t>Jalapeños Rebanados.             1*2,5 Kgr</t>
  </si>
  <si>
    <t>Chipotles.       1*12*215GR</t>
  </si>
  <si>
    <t>Esparragos blancos.        1*12*330 Gr.</t>
  </si>
  <si>
    <t>Esparragos verdes..            1*12*330 Gr.</t>
  </si>
  <si>
    <t>Maiz entero.        1*3 kgr</t>
  </si>
  <si>
    <t>Mazorquitas de máiz        1*24*240</t>
  </si>
  <si>
    <t>Pasta de tomate.            1*4 Kgr</t>
  </si>
  <si>
    <t>Tomates pelados galon.            1*3 kgr</t>
  </si>
  <si>
    <t>Garbanzos Latas                 1*24*500 Gr.</t>
  </si>
  <si>
    <t>Anchoas frasco.              1*2 kgr</t>
  </si>
  <si>
    <t>Atun en aceite vegetal.            1*12*354 kgr.</t>
  </si>
  <si>
    <t>Pepitonas picantes.             1*35*140 kgr.</t>
  </si>
  <si>
    <t>Diablito.            1*24*115 Kgr.</t>
  </si>
  <si>
    <t xml:space="preserve">Piña en rueda.             1*3,1 kgr </t>
  </si>
  <si>
    <t>Cerezas Marroquinas Rojas.           1*3 kgr</t>
  </si>
  <si>
    <t>Cerezas Marroquinas Verde.           1*3 kgr</t>
  </si>
  <si>
    <t>kiwis almibal AL NATURAL             1*3 kgr</t>
  </si>
  <si>
    <t>Coctel de frutas.               1*3 kgr</t>
  </si>
  <si>
    <t>Coctel de frutas.            1*12*820gr</t>
  </si>
  <si>
    <t>Cheeze-wiz frasco.              1*12*300 Gr.</t>
  </si>
  <si>
    <t>Yogurt natural.          1*6*185 Gr.</t>
  </si>
  <si>
    <t>Crema para café.                1*12*311 Gr</t>
  </si>
  <si>
    <t>Crema de leche.              1*48*300gr</t>
  </si>
  <si>
    <t xml:space="preserve">Leche condensada.            1*24*395 </t>
  </si>
  <si>
    <t>Leche evaporada.              1*48*410gr</t>
  </si>
  <si>
    <t>Sardinas en lata variada.         1*48*170 kgr.</t>
  </si>
  <si>
    <t>Sardinas en lata variada.        1*12*280 kgr.</t>
  </si>
  <si>
    <t>Sopa intantanea variada           1*12*64 Gr</t>
  </si>
  <si>
    <t>Leche en polvo.     Bulto 1*12*1</t>
  </si>
  <si>
    <t>Queso amarillo.        Barra 1*3 kgr.</t>
  </si>
  <si>
    <t>Quezo mozzarela Paisa.      Barra 1*3 kgr.</t>
  </si>
  <si>
    <t xml:space="preserve">Queso parmesano.      Barra 1*6 kgr.        </t>
  </si>
  <si>
    <t>Queso azul.         Barra 1*2 kgr.</t>
  </si>
  <si>
    <t>Queso Crema        1*18*200 gr</t>
  </si>
  <si>
    <t>Queso para fundir Suizo     1*500 gr</t>
  </si>
  <si>
    <t>Queso blanco semiduro        Barra 1*3 kgr.</t>
  </si>
  <si>
    <t>Queso guayanes.       piezas/kg</t>
  </si>
  <si>
    <t>Queso Ricota          piezas/kg</t>
  </si>
  <si>
    <t>Queso Palmizulia           piezas/kg</t>
  </si>
  <si>
    <t>Huevos       1*12*30</t>
  </si>
  <si>
    <t>Arvejas verdes.      1*24*500 grs.</t>
  </si>
  <si>
    <t>Arvejas amarillas.       1*24*500 grs.</t>
  </si>
  <si>
    <t>Lentejas.        1*24*500 grs.</t>
  </si>
  <si>
    <t>Caraotas blancas.      1*24*500 grs.</t>
  </si>
  <si>
    <t>Caraotas negras.      1*24*500 grs.</t>
  </si>
  <si>
    <t>Caraotas rojas.        1*24*500 grs.</t>
  </si>
  <si>
    <t>Frijoles.       1*24*500 grs.</t>
  </si>
  <si>
    <t>Ajonjoli.           bolsas/kg</t>
  </si>
  <si>
    <t>Garbanzos.       1*24*500 grs.</t>
  </si>
  <si>
    <t>CusCús.        1*20*500 grs</t>
  </si>
  <si>
    <t>Azucar Montalban         1*180 sobres</t>
  </si>
  <si>
    <t>Azucar blanca refinada           kgr.</t>
  </si>
  <si>
    <t>Azucar light.        Mostrador 500</t>
  </si>
  <si>
    <t>Ajinomoto saco       Bolsa/kgr</t>
  </si>
  <si>
    <t>Bicarbonato.        Bolsa/kgr</t>
  </si>
  <si>
    <t>Canela entera.         Bolsa/kgr</t>
  </si>
  <si>
    <t>Canela en polvo.       Bolsa/kgr</t>
  </si>
  <si>
    <t>Clavos de olor.       Bolsa/kgr</t>
  </si>
  <si>
    <t>Comino.         Bolsa/kgr</t>
  </si>
  <si>
    <t>Colorante amarillo      Bolsa/kgr</t>
  </si>
  <si>
    <t>Curry Trinitario.       Bolsa/kgr</t>
  </si>
  <si>
    <t>Curcuma.      Bolsa/kgr</t>
  </si>
  <si>
    <t>Anis semillas.         Bolsa/kgr</t>
  </si>
  <si>
    <t>Chocolate granulado.       Bolsa/kgr</t>
  </si>
  <si>
    <t>Cacao en polvo.     Bolsa/kgr</t>
  </si>
  <si>
    <t>Estragon seco.        Bolsa/kgr</t>
  </si>
  <si>
    <t xml:space="preserve">Esencias de sabores        litros </t>
  </si>
  <si>
    <t>Hojas de laurel.        Bolsa/kgr</t>
  </si>
  <si>
    <t>Nuez moscada entera.          Bolsa/kgr</t>
  </si>
  <si>
    <t>Nevazucar.         Bolsa/kgr</t>
  </si>
  <si>
    <t>Onoto en grano.       Bolsa/kgr</t>
  </si>
  <si>
    <t>oregano en polvo.        Bolsa/kgr</t>
  </si>
  <si>
    <t>Oregano en entero.        Bolsa/kgr</t>
  </si>
  <si>
    <t>Papelon.        Unidad</t>
  </si>
  <si>
    <t>Pimienta guayabita.           Bolsa/kgr</t>
  </si>
  <si>
    <t>Romero seco.        Bolsa/kgr</t>
  </si>
  <si>
    <t>Sal empaque.      1*25 kgr</t>
  </si>
  <si>
    <t>Salvia.           Bolsa/kgr</t>
  </si>
  <si>
    <t>Tomillo.             Bolsa/kgr</t>
  </si>
  <si>
    <t>All Bran variados     1*3*600 gr</t>
  </si>
  <si>
    <t>Avena Quaker en hojuela.      1*12*800 gr</t>
  </si>
  <si>
    <t>Crema de arroz Primor.        1*12*900 gr</t>
  </si>
  <si>
    <t>Cerelac lata.         1*12*1 Kgr.</t>
  </si>
  <si>
    <t>Frescavena variada.      1*12*500 gr</t>
  </si>
  <si>
    <t>Fororo la lucha.         1*12*900 gr</t>
  </si>
  <si>
    <t>Maizina americana.       1*16*800 gr.</t>
  </si>
  <si>
    <t>Corn Flakes.        1*12*500 gr</t>
  </si>
  <si>
    <t>Special K original.        1*3*540 gr</t>
  </si>
  <si>
    <t>Special K con pasas.      1*3*380 gr</t>
  </si>
  <si>
    <t xml:space="preserve">Musli variado.      1*3*325 gr. </t>
  </si>
  <si>
    <t>Corp pops         1*3*350 gr.</t>
  </si>
  <si>
    <t xml:space="preserve">Froot loops        1*3*405 gr. </t>
  </si>
  <si>
    <t>Zucarita          1*3*590 gr</t>
  </si>
  <si>
    <t>Agua.          1*24und*330 ml</t>
  </si>
  <si>
    <t>Agua           1*4 und*5 Ltr.</t>
  </si>
  <si>
    <t>Agua       1*24 und*500ml</t>
  </si>
  <si>
    <t>Bag in box coca cola.        1*18 ltrs</t>
  </si>
  <si>
    <t>Bag in box cocacola light.      1*9 ltrs</t>
  </si>
  <si>
    <t>Bag in box chinoto.       1*18 ltrs</t>
  </si>
  <si>
    <t xml:space="preserve">Bag in box frescolita.         1*18 ltrs. </t>
  </si>
  <si>
    <t>Bag in box naranja.         1*9 ltrs.</t>
  </si>
  <si>
    <r>
      <t>Bombona de gas CO</t>
    </r>
    <r>
      <rPr>
        <sz val="10"/>
        <rFont val="Calibri"/>
        <family val="2"/>
      </rPr>
      <t>₂        9 libras</t>
    </r>
  </si>
  <si>
    <t xml:space="preserve">Nestea en polvo limón         1*6*1,75 Kgr. </t>
  </si>
  <si>
    <t>Nestea en polvo durazno        1*6*1,750 kgr.</t>
  </si>
  <si>
    <t>Refresco         1*12*1,5 ltrs.</t>
  </si>
  <si>
    <t>Refresco en lata       1*24 Und.</t>
  </si>
  <si>
    <t>Malta          1*6*1,5 ltrs.</t>
  </si>
  <si>
    <t>Colcafe Instantáneo.        1*12*170 Gr</t>
  </si>
  <si>
    <t>Colcafe Capuchino.           1*12*270 Gr</t>
  </si>
  <si>
    <t>Nescafe instantaneo.         1*12*170 Gr.</t>
  </si>
  <si>
    <t>Toddy bolsa         1*8*2 Kgr.</t>
  </si>
  <si>
    <t>Te Manzanilla Lipton.         1*100 und.</t>
  </si>
  <si>
    <t>Tilo Mc Cormick.         1*100 und.</t>
  </si>
  <si>
    <t>Te lipton.         1*100 und.</t>
  </si>
  <si>
    <t>Acelgas.        kgr.</t>
  </si>
  <si>
    <t>Aguacates.         kgr.</t>
  </si>
  <si>
    <t>Aji dulce.        kgr.</t>
  </si>
  <si>
    <t>Ajo porro.         kgr.</t>
  </si>
  <si>
    <t>Ajo importado      kgr.</t>
  </si>
  <si>
    <t>Albahaca.        kgr.</t>
  </si>
  <si>
    <t>Apio criollo.        kgr.</t>
  </si>
  <si>
    <t>Auyama.        kgr.</t>
  </si>
  <si>
    <t>Batata.           kgr.</t>
  </si>
  <si>
    <t>Berengena.         kgr.</t>
  </si>
  <si>
    <t>Brocoli.       kgr.</t>
  </si>
  <si>
    <t>Brotes de lentejas.         500 grs.</t>
  </si>
  <si>
    <t>Calabacin.            kgr.</t>
  </si>
  <si>
    <t>Cambur.          kgr.</t>
  </si>
  <si>
    <t>Cebolla morada.        kgr.</t>
  </si>
  <si>
    <t>Cebolla.      kgr.</t>
  </si>
  <si>
    <t>Cebollin.    kgr.</t>
  </si>
  <si>
    <t>Celery.      kgr.</t>
  </si>
  <si>
    <t>Chayota       kgr.</t>
  </si>
  <si>
    <t>Cilantro.    kgr.</t>
  </si>
  <si>
    <t>Ciruelas importadas.       1*10 kgr</t>
  </si>
  <si>
    <t>Coco.      Und.</t>
  </si>
  <si>
    <t>Coliflor.         kgr.</t>
  </si>
  <si>
    <t>Durazno.      kgr.</t>
  </si>
  <si>
    <t>Espinacas.       kgr.</t>
  </si>
  <si>
    <t>Guanabana      kgr.</t>
  </si>
  <si>
    <t>Guayaba.       kgr.</t>
  </si>
  <si>
    <t>Guisantes Congelados       Caja de 13,64 kg.</t>
  </si>
  <si>
    <t>Jojoto.           kgr.</t>
  </si>
  <si>
    <t>Lechosa.          kgr.</t>
  </si>
  <si>
    <t>Lechuga.          kgr.</t>
  </si>
  <si>
    <t>Limon.         kgr.</t>
  </si>
  <si>
    <t>Mandarina.        kgr.</t>
  </si>
  <si>
    <t>Mango.      kgr.</t>
  </si>
  <si>
    <t xml:space="preserve">Manzanas verdes         Caja 90 und.  </t>
  </si>
  <si>
    <t>Melon.           kgr.</t>
  </si>
  <si>
    <t>Nabo.             kgr.</t>
  </si>
  <si>
    <t>Naranjas en sacos.          1*200 Und</t>
  </si>
  <si>
    <t>Ñame.         kgr.</t>
  </si>
  <si>
    <t>Ocumo blanco.            kgr.</t>
  </si>
  <si>
    <t>Ocumo chino.         kgr.</t>
  </si>
  <si>
    <t>Papa.       kgr.</t>
  </si>
  <si>
    <t>Papas congeladas p/ freir.      1*10*1 kgr.</t>
  </si>
  <si>
    <t>Parchitas.        kgr.</t>
  </si>
  <si>
    <t>Patilla.        kgr.</t>
  </si>
  <si>
    <t>Pepino.         kgr.</t>
  </si>
  <si>
    <t xml:space="preserve">Pera.        Caja 90 und.  </t>
  </si>
  <si>
    <t>Perejil.         kgr.</t>
  </si>
  <si>
    <t>Pimenton.         kgr.</t>
  </si>
  <si>
    <t>Piña.        kgr.</t>
  </si>
  <si>
    <t>Platanos.         Und.</t>
  </si>
  <si>
    <t>pulpa de frutas variadas         kgr.</t>
  </si>
  <si>
    <t>Remolachas.          kgr.</t>
  </si>
  <si>
    <t>Repollo blanco.        kgr.</t>
  </si>
  <si>
    <t>Repollo morado.            kgr.</t>
  </si>
  <si>
    <t>Tomates.       kgr.</t>
  </si>
  <si>
    <t>Uvas  Cajas.      1*10 kgr</t>
  </si>
  <si>
    <t>Vainitas.        kgr.</t>
  </si>
  <si>
    <t>Yuca        kgr.</t>
  </si>
  <si>
    <t>Zanahoria.         kgr.</t>
  </si>
  <si>
    <t>Gengibre        kgr.</t>
  </si>
  <si>
    <t>Kiwi natural         kgr.</t>
  </si>
  <si>
    <t>Escarola              kgr.</t>
  </si>
  <si>
    <t>Hinojo Fresco           kgr.</t>
  </si>
  <si>
    <t>Eneldo Fresco             kgr.</t>
  </si>
  <si>
    <t>Hojas de platano.              kgr.</t>
  </si>
  <si>
    <t>Almendras fileteadas.           Bolsa/ kgr.</t>
  </si>
  <si>
    <t>Avellanas          Bolsa/ kgr.</t>
  </si>
  <si>
    <t>Caramelos de menta.         1*100 und.</t>
  </si>
  <si>
    <t>Cotufas variadas         1*18*99 gr</t>
  </si>
  <si>
    <t>Coco rallado.            kgr.</t>
  </si>
  <si>
    <t>Flan Lavital.          kgr.</t>
  </si>
  <si>
    <t>Frutas confitadas.       kgr.</t>
  </si>
  <si>
    <t>Galletas club social caja.          1*28*9 sobre</t>
  </si>
  <si>
    <t>Galletas de soda El Sol.          1*24*9sobre</t>
  </si>
  <si>
    <t>Galletas hony bran.          1*24*9sobre</t>
  </si>
  <si>
    <t>Galletas kraker bran.         1*24*9sobre</t>
  </si>
  <si>
    <t>Lluvia de colores           kgr.</t>
  </si>
  <si>
    <t>Mani pelado.           kgr.</t>
  </si>
  <si>
    <t>Nueces.peladas         kgr.</t>
  </si>
  <si>
    <t>Pudin kilo          kgr.</t>
  </si>
  <si>
    <t>Uvas pasas.         kgr.</t>
  </si>
  <si>
    <t>Merey            kgr.</t>
  </si>
  <si>
    <t>Pistacho          kgr.</t>
  </si>
  <si>
    <t>Lluvia de Chocolate            kgr.</t>
  </si>
  <si>
    <t>Gotas de Chocolate           kgr.</t>
  </si>
  <si>
    <t xml:space="preserve">Granadina variada botella.         1*750 ml          </t>
  </si>
  <si>
    <t>Mermelada variada           1*3*245 ml</t>
  </si>
  <si>
    <t>Miel de abeja botella de.         1*12*1ltr</t>
  </si>
  <si>
    <t>Miel de flores de abeja.           1*6*300 ml</t>
  </si>
  <si>
    <t>Sirope natural.           1*12*709 ml</t>
  </si>
  <si>
    <t>Casabe paquete      1*10 tortas</t>
  </si>
  <si>
    <t xml:space="preserve">Harina pan  1 x 20 kg            1*20  kgr. </t>
  </si>
  <si>
    <t xml:space="preserve">Harina de trigo leudante             1*20  kgr. </t>
  </si>
  <si>
    <t xml:space="preserve">Harina de trigo todo uso          1*20  kgr. </t>
  </si>
  <si>
    <t>Mezcla para cachapas             1*12*500 kgr.</t>
  </si>
  <si>
    <t>Levadura dulce de lL.G.           500 gr</t>
  </si>
  <si>
    <t>Polvo hornear.        kgr.</t>
  </si>
  <si>
    <t>Masa para pastelitos.        kgr.</t>
  </si>
  <si>
    <t>Harina de trigo.          1 * 45 kgr.</t>
  </si>
  <si>
    <t>Pasta larga  Vermicelli         Kgr.</t>
  </si>
  <si>
    <t>Pasta larga  Linguini        Kgr.</t>
  </si>
  <si>
    <t>Pasta larga  Tallarines             Kgr.</t>
  </si>
  <si>
    <t>Pasta larga fetuccini       Kgr.</t>
  </si>
  <si>
    <t>Pasta corta Plumita          Kgr.</t>
  </si>
  <si>
    <t>Pasta corta Canelones       Kgr.</t>
  </si>
  <si>
    <t>Pasta corta caracolees           Kgr.</t>
  </si>
  <si>
    <t>Pasta corta dedal           Kgr.</t>
  </si>
  <si>
    <t>Pasta corta codido           Kgr.</t>
  </si>
  <si>
    <t>Pasta corta tornillitos        Kgr.</t>
  </si>
  <si>
    <t>Pasta corta macarrones        Kgr.</t>
  </si>
  <si>
    <t>Pasta corta Codidos.      Kgr.</t>
  </si>
  <si>
    <t>Pasta para pasticho.       1*12*250gr</t>
  </si>
  <si>
    <t>Fideos para sopa         1*12*250gr</t>
  </si>
  <si>
    <t>Carne molida.           1*3 kgr</t>
  </si>
  <si>
    <t>Carne para esmechar.        1*3 kgr</t>
  </si>
  <si>
    <t>Costilla de res.       1*3 kgr</t>
  </si>
  <si>
    <t>Lomito entero de res.          Kgr.</t>
  </si>
  <si>
    <t>Muchacho redondo.        Kgr.</t>
  </si>
  <si>
    <t>Panza de res picada.         1*3 kgr</t>
  </si>
  <si>
    <t>Pulpa negra.           Kgr.</t>
  </si>
  <si>
    <t>Rabo de res.          1*3 kgr</t>
  </si>
  <si>
    <t>Solomo de cuerito.       Kgr.</t>
  </si>
  <si>
    <t>Punta trasera        Kgr.</t>
  </si>
  <si>
    <t>Chorizo variados         1*3 kgr</t>
  </si>
  <si>
    <t>Morcilla        1*3 kgr</t>
  </si>
  <si>
    <t>Chivo picado.        1*3 kgr</t>
  </si>
  <si>
    <t>Lomo de Cerdo       Kgr.</t>
  </si>
  <si>
    <t>Pierna de cordero.           Kgr.</t>
  </si>
  <si>
    <t>Chuleta de cerdo.          1*3 kgr</t>
  </si>
  <si>
    <t>Hueso ahumado picado       1*3 kgr</t>
  </si>
  <si>
    <t>Patica de cerdo      1*3 kgr</t>
  </si>
  <si>
    <t>Lechon      ocasión espe.</t>
  </si>
  <si>
    <t>Bologña de carne.       1*3 kgr</t>
  </si>
  <si>
    <t>Bologña de pollo.         1*3 kgr</t>
  </si>
  <si>
    <t>Jamon de pierna         1 Barra*5,7 kg</t>
  </si>
  <si>
    <t>Mortadela Tapara .         1 Barra* de 5- 6 kg</t>
  </si>
  <si>
    <t>Salchichon Milano         1 kgr</t>
  </si>
  <si>
    <t>Salami         2 kgr</t>
  </si>
  <si>
    <t>Peperoni         1 kgr</t>
  </si>
  <si>
    <t>Tocineta       1 kgr</t>
  </si>
  <si>
    <t>Salchicha tipo Jumbo         1*12*450 Gr</t>
  </si>
  <si>
    <t>Salchicha tipo polaca       1*12*450 Gr</t>
  </si>
  <si>
    <t>Salchicha tipo hungara            1*12*450 Gr</t>
  </si>
  <si>
    <t>Salchicha tipo winer            1*12*450 Gr</t>
  </si>
  <si>
    <t>Salchicha tipo alemana.           1*12*450 Gr</t>
  </si>
  <si>
    <t xml:space="preserve">Gallina entera ( 3 - 7 kls.)          Und/kgr. </t>
  </si>
  <si>
    <t xml:space="preserve">Alas de Pavo          Und/kgr. </t>
  </si>
  <si>
    <t xml:space="preserve">Muslo de Pavo.      Und/kgr. </t>
  </si>
  <si>
    <t xml:space="preserve">Piernas de Pavo.        Und/kgr. </t>
  </si>
  <si>
    <t xml:space="preserve">Pavo entero ( 5 - 7 kls.)          Und/kgr. </t>
  </si>
  <si>
    <t>Atun churrasco           Empacado al vacio</t>
  </si>
  <si>
    <t>Carite  en rueda           Bandejas 2,5-3 kg</t>
  </si>
  <si>
    <t>Carite para sopa         Bandejas 2,5-3 kg</t>
  </si>
  <si>
    <t>Catalana entera             Bandejas 2,5-3 kg</t>
  </si>
  <si>
    <t>Cazon.         Ración</t>
  </si>
  <si>
    <t>Dorado En rueda           Bandejas 2,5-3 kg</t>
  </si>
  <si>
    <t>Filet de corvina.            Bandejas 2,5-3 kg</t>
  </si>
  <si>
    <t>Filet de dorado           Bandejas 2,5-3 kg</t>
  </si>
  <si>
    <t>Filet de Merluza             Bandejas 2,5-3 kg</t>
  </si>
  <si>
    <t>Mero              Bandejas 2,5-3 kg</t>
  </si>
  <si>
    <t>Pargo entero               Bandejas 2,5-3 kg</t>
  </si>
  <si>
    <t>Parguito entero          Bandejas 2,5-3 kg</t>
  </si>
  <si>
    <t>Pez espada             Bandejas 2,5-3 kg</t>
  </si>
  <si>
    <t>Robalo entero            Bandejas 2,5-3 kg</t>
  </si>
  <si>
    <t>Roncador            Bandejas 2,5-3 kg</t>
  </si>
  <si>
    <t>Sierra en Rueda               Bandejas 2,5-3 kg</t>
  </si>
  <si>
    <t>Salmón en filet.             Bandejas 2,5-3 kg</t>
  </si>
  <si>
    <t>Salmon entero           Bandejas 2,5-3 kg</t>
  </si>
  <si>
    <t>Cangrejo.            Bandejas 2,5-3 kg</t>
  </si>
  <si>
    <t>Camarones.          Bandejas 2,5-3 kg</t>
  </si>
  <si>
    <t>Calamares.            Bandejas 2,5-3 kg</t>
  </si>
  <si>
    <t>Calamar en Tentáculos            Bandejas 2,5-3 kg</t>
  </si>
  <si>
    <t>Calamar en Boton.          Bandejas 2,5-3 kg</t>
  </si>
  <si>
    <t>Langostinos.            Bandejas 2,5-3 kg</t>
  </si>
  <si>
    <t>Mejillones limpios.          Bandejas 2,5-3 kg</t>
  </si>
  <si>
    <t>Mejillon en concha.          Bandejas 2,5-3 kg</t>
  </si>
  <si>
    <t>Pulpo.          Bandejas 2,5-3 kg</t>
  </si>
  <si>
    <t>Pepitona.        Bandejas 2,5-3 kg</t>
  </si>
  <si>
    <t>TODDY - AVENA - AREPA</t>
  </si>
  <si>
    <t>PANQUECAS- TOSTADAS FRANCESAS.</t>
  </si>
  <si>
    <t>CACHITOS - HUEVOS REVUELTOS CON JAMON</t>
  </si>
  <si>
    <t>POLLO SALTEADO - TOCINETA</t>
  </si>
  <si>
    <t>SALCHICHA ALEMANA A LA PLANCHA.</t>
  </si>
  <si>
    <t>15-08 Tocineta       1 kgr</t>
  </si>
  <si>
    <t>15-15 Salchicha tipo alemana.           1*12*450 Gr</t>
  </si>
  <si>
    <t>15-03 Jamon de pierna         1 Barra*5,7 kg</t>
  </si>
  <si>
    <t>03-12 Queso amarillo.        Barra 1*3 kgr.</t>
  </si>
  <si>
    <t>03-13 Queso blanco pasteurizado.       Barra 1*3 kgr.</t>
  </si>
  <si>
    <t>03-11 Leche en polvo.     Bulto 1*12*1</t>
  </si>
  <si>
    <t>07-21 Toddy bolsa         1*8*2 Kgr.</t>
  </si>
  <si>
    <t>06-02 Avena Quaker en hojuela.      1*12*800 gr</t>
  </si>
  <si>
    <t xml:space="preserve">11-02 Harina pan  1 x 20 kg            1*20  kgr. </t>
  </si>
  <si>
    <t xml:space="preserve">11-04 Harina de trigo todo uso          1*20  kgr. </t>
  </si>
  <si>
    <t>03-26 Huevos       1*12*30</t>
  </si>
  <si>
    <t>03-10 Leche completa larga duracion.  1*12*1ltr</t>
  </si>
  <si>
    <t>ESTOFADO DE RES</t>
  </si>
  <si>
    <t>PESCADO AL HORNO</t>
  </si>
  <si>
    <t>POLLO AL CHAMPIÑON - VEGETALES AL GRATEN</t>
  </si>
  <si>
    <t>ARROZ CON FIDEOS</t>
  </si>
  <si>
    <t>GARBANZOS GUISADOS</t>
  </si>
  <si>
    <t>PAPAS AL VAPOR CON MANTEQUILLA Y PEREJIL</t>
  </si>
  <si>
    <t>CREMA DE AUYAMA</t>
  </si>
  <si>
    <t>JUGO DE PATILLA - SALAD BAR</t>
  </si>
  <si>
    <t xml:space="preserve">FRUSTAS FRESCAS </t>
  </si>
  <si>
    <t>13-08 Pulpa negra.           Kgr.</t>
  </si>
  <si>
    <t xml:space="preserve">16-02 Pollo entero ( 1,9 - 2,2 kls.)          Und/kgr. </t>
  </si>
  <si>
    <t>17-12 Parguito entero          Bandejas 2,5-3 kg</t>
  </si>
  <si>
    <t>08-51 Pimenton.         kgr.</t>
  </si>
  <si>
    <t>08-23 Coliflor.         kgr.</t>
  </si>
  <si>
    <t>08-11 Brocoli.       kgr.</t>
  </si>
  <si>
    <t>08-47 Patilla.        kgr.</t>
  </si>
  <si>
    <t>08-64 Zanahoria.         kgr.</t>
  </si>
  <si>
    <t>08-35 Mango.      kgr.</t>
  </si>
  <si>
    <t>08-59 Uvas  Cajas.      1*10 kgr</t>
  </si>
  <si>
    <t>08-05 Ajo importado      kgr.</t>
  </si>
  <si>
    <t>08-16 Cebolla.      kgr.</t>
  </si>
  <si>
    <t>08-08 Auyama.        kgr.</t>
  </si>
  <si>
    <t>08-44 Papa.       kgr.</t>
  </si>
  <si>
    <t>08-50 Perejil.         kgr.</t>
  </si>
  <si>
    <t>08-04 Ajo porro.         kgr.</t>
  </si>
  <si>
    <t>03-17 Queso Crema        1*18*200 gr</t>
  </si>
  <si>
    <t xml:space="preserve">03-15 Queso parmesano.      Barra 1*6 kgr.        </t>
  </si>
  <si>
    <t>04-01 Arroz 98% granos enteros.          1*24 kgr.</t>
  </si>
  <si>
    <t>02-16 Pasta de tomate.            1*4 Kgr</t>
  </si>
  <si>
    <t>11-01 Casabe paquete      1*10 tortas</t>
  </si>
  <si>
    <t>02-07 Champiñones fileteados.            1*3 kgr</t>
  </si>
  <si>
    <t>01-05 Mantequilla torondoy.      200Gr. Und.</t>
  </si>
  <si>
    <t>CARNE CON QUESO</t>
  </si>
  <si>
    <t xml:space="preserve">PASTA CON SALSA ESPAÑOLA </t>
  </si>
  <si>
    <t>ARROZ CON CHAMPIÑONES</t>
  </si>
  <si>
    <t>VEGETALES SALTEADOS - PAPAS FRITAS</t>
  </si>
  <si>
    <t>BANDEJAS DE QUESO</t>
  </si>
  <si>
    <t>JUGO DE PATILLA RC</t>
  </si>
  <si>
    <t>NESTEA - ENSALADA RUSA</t>
  </si>
  <si>
    <t xml:space="preserve">FRUTAS - LECHE LÍQUIDA </t>
  </si>
  <si>
    <t>POLLO AL HORNO RC</t>
  </si>
  <si>
    <t>13-11 Punta trasera        Kgr.</t>
  </si>
  <si>
    <t>14-05 Chuleta ahumada de cerdo.        1*3 kgr</t>
  </si>
  <si>
    <t>13-12 Chorizo variados         1*3 kgr</t>
  </si>
  <si>
    <t>08-13 Calabacin.            kgr.</t>
  </si>
  <si>
    <t>08-10 Berengena.         kgr.</t>
  </si>
  <si>
    <t>08-55 Remolachas.          kgr.</t>
  </si>
  <si>
    <t>08-45 Papas congeladas p/ freir.      1*10*1 kgr.</t>
  </si>
  <si>
    <t>05-02 Azucar blanca refinada           kgr.</t>
  </si>
  <si>
    <t>02-27 Melocoton en almibar.                 1*3 kgr</t>
  </si>
  <si>
    <t xml:space="preserve">07-10 Nestea en polvo limón         1*6*1,75 Kgr. </t>
  </si>
  <si>
    <t>12-01 Pasta larga  Vermicelli         Kgr.</t>
  </si>
  <si>
    <t>01-03 Aceite de oliva de lata       Caja 1*20*700ml.</t>
  </si>
  <si>
    <t xml:space="preserve">SOPA DE POLLO </t>
  </si>
  <si>
    <t>CHAWARMAS MIXTOS</t>
  </si>
  <si>
    <t>ENS FRESCA</t>
  </si>
  <si>
    <t>CARITE AL PIMENTÓN</t>
  </si>
  <si>
    <t>ARROZ BLANCORC</t>
  </si>
  <si>
    <t>PLATANO HORNEADO</t>
  </si>
  <si>
    <t>08-53 Platanos.         Und.</t>
  </si>
  <si>
    <t>08-42 Ocumo blanco.            kgr.</t>
  </si>
  <si>
    <t>08-43 Ocumo chino.         kgr.</t>
  </si>
  <si>
    <t>08-30 Jojoto.           kgr.</t>
  </si>
  <si>
    <t>08-58 Tomates.       kgr.</t>
  </si>
  <si>
    <t>08-32 Lechuga.          kgr.</t>
  </si>
  <si>
    <t>08-18 Celery.      kgr.</t>
  </si>
  <si>
    <t>08-41 Ñame.         kgr.</t>
  </si>
  <si>
    <t>08-20 Cilantro.    kgr.</t>
  </si>
  <si>
    <t>08-17 Cebollin.    kgr.</t>
  </si>
  <si>
    <t>RC</t>
  </si>
  <si>
    <t>07-15 Jugo pasteurizado Variado L g   1*12*1ltrs.</t>
  </si>
  <si>
    <t>07-13 Refresco en lata       1*24 Und.</t>
  </si>
  <si>
    <t>LECHE CON CEREALES  - REFRESCOS - GALLETAS</t>
  </si>
  <si>
    <t>GASEOSAS - HELADOS</t>
  </si>
  <si>
    <t>06-14 Zucarita          1*3*590 gr</t>
  </si>
  <si>
    <t xml:space="preserve">06-11 Musli variado.      1*3*325 gr. </t>
  </si>
  <si>
    <t>06-08 Corn Flakes.        1*12*500 gr</t>
  </si>
  <si>
    <t>09-15 Galletas hony bran.          1*24*9sobre</t>
  </si>
  <si>
    <t>09-16 Galletas kraker bran.         1*24*9sobre</t>
  </si>
  <si>
    <t>09-14 Galletas de soda El Sol.          1*24*9sobre</t>
  </si>
  <si>
    <t>09-10 Galletas club social caja.          1*28*9 sobre</t>
  </si>
  <si>
    <t>03-22 Helados surtidos env cuadrado.    5 ltr</t>
  </si>
  <si>
    <t>08-31 Lechosa.          kgr.</t>
  </si>
  <si>
    <t>13-01 Carne molida.           1*3 kgr</t>
  </si>
  <si>
    <t>08-48 Pepino.         kgr.</t>
  </si>
  <si>
    <t>08-62 Yuca congelada empaque           1*6*5 kgr.</t>
  </si>
  <si>
    <t>03-14 Quezo mozzarela Paisa.      Barra 1*3 kgr.</t>
  </si>
  <si>
    <t>02-17 Tomates pelados galon.            1*3 kgr</t>
  </si>
  <si>
    <t>SALAD BAR</t>
  </si>
  <si>
    <t>18-02 Camarones.          Bandejas 2,5-3 kg</t>
  </si>
  <si>
    <t>18-03 Calamares.            Bandejas 2,5-3 kg</t>
  </si>
  <si>
    <t>08-02 Aguacates.         kgr.</t>
  </si>
  <si>
    <t>02-12 Esparragos blancos.        1*12*330 Gr.</t>
  </si>
  <si>
    <t>02-13 Esparragos verdes..            1*12*330 Gr.</t>
  </si>
  <si>
    <t>08-56 Repollo blanco.        kgr.</t>
  </si>
  <si>
    <t>15-09 Salchichas para perro calientes.  1*12*450 Gr</t>
  </si>
  <si>
    <t>ESTAS SON CONSTATES EN LÍNEA CONSUMIDOS DURANTE UN DÍA</t>
  </si>
  <si>
    <t>11-12 Harina de trigo.          1 * 45 kgr.</t>
  </si>
  <si>
    <t>11-06 Levadura salada de L.G.               500 gr</t>
  </si>
  <si>
    <t>01-08 Margarina con sal el chef.      1*5 kgr</t>
  </si>
  <si>
    <t>01-11 Mayonesa         1*3,6 kgr</t>
  </si>
  <si>
    <t>01-12 Salsa de tomate.     1*4,3 kgr.</t>
  </si>
  <si>
    <t xml:space="preserve">08-36 Manzanas. Rojas. CAJA            Caja 90 und.  </t>
  </si>
  <si>
    <t xml:space="preserve">08-37 Manzanas verdes         Caja 90 und.  </t>
  </si>
  <si>
    <t>12-05 Pasta corta Plumita          Kgr.</t>
  </si>
  <si>
    <t>02-20 Atun en aceite vegetal.            1*12*354 kgr.</t>
  </si>
  <si>
    <t>ENSALADA MIXTA</t>
  </si>
  <si>
    <t>02-08 Palmito.         1*3 kgr</t>
  </si>
  <si>
    <t>01-20 Salsa de soya.       1*4ltr</t>
  </si>
  <si>
    <t>CHULETA AHUMADA A LA PLANCHA</t>
  </si>
  <si>
    <t>13-05 Lomito entero de res.          Kgr.</t>
  </si>
  <si>
    <t>17-11 Pargo entero               Bandejas 2,5-3 kg</t>
  </si>
  <si>
    <t>17-18 Salmon entero           Bandejas 2,5-3 kg</t>
  </si>
  <si>
    <t xml:space="preserve">POLLO DESMECHADO </t>
  </si>
  <si>
    <t>08-33 Limon.         kgr.</t>
  </si>
  <si>
    <t>08-46 Parchitas.        kgr.</t>
  </si>
  <si>
    <t>13-10 Solomo de cuerito.       Kgr.</t>
  </si>
  <si>
    <t>08-24 Durazno.      kgr.</t>
  </si>
  <si>
    <t>08-21 Ciruelas importadas.       1*10 kgr</t>
  </si>
  <si>
    <t>01-10 Manteca vegetal.      1*15 Kgr</t>
  </si>
  <si>
    <t>09-05 Coco rallado.            kgr.</t>
  </si>
  <si>
    <t>17-09 Filet de Merluza             Bandejas 2,5-3 kg</t>
  </si>
  <si>
    <t>18-08 Mejillon en concha.          Bandejas 2,5-3 kg</t>
  </si>
  <si>
    <t>PARRILLA ARGENTINA</t>
  </si>
  <si>
    <t xml:space="preserve">HALLAQUITAS ALIÑADAS </t>
  </si>
  <si>
    <t>13-13 Morcilla        1*3 kgr</t>
  </si>
  <si>
    <t>08-57 Repollo morado.            kgr.</t>
  </si>
  <si>
    <t>02-03 Aceitunas verde enteras.             1*3 kgr</t>
  </si>
  <si>
    <t>07-11 Nestea en polvo durazno        1*6*1,750 kgr.</t>
  </si>
  <si>
    <t>SOPA DE PESCADO</t>
  </si>
  <si>
    <t xml:space="preserve">02-26 Piña en rueda.             1*3,1 kgr </t>
  </si>
  <si>
    <t>09-09 Gelatina de sabores. Variados   kgr.</t>
  </si>
  <si>
    <t>05-25 Papelon.        Unidad</t>
  </si>
  <si>
    <t>18-07 Mejillones limpios.          Bandejas 2,5-3 kg</t>
  </si>
  <si>
    <t>POLLO A LA PLANCHA</t>
  </si>
  <si>
    <t>15-07 Peperoni         1 kgr</t>
  </si>
  <si>
    <t xml:space="preserve">TOCINETA - PANQUECA </t>
  </si>
  <si>
    <t>CARNE MECHADA</t>
  </si>
  <si>
    <t xml:space="preserve">ENSALADA </t>
  </si>
  <si>
    <t>14-06 Costilla de cerdo baby rack.       1*3 kgr</t>
  </si>
  <si>
    <t>CAZUELA DE MARISCOS</t>
  </si>
  <si>
    <t>01-14 Mostaza tradicional.      1*4 Kgr</t>
  </si>
  <si>
    <t xml:space="preserve">TORTA DE PIÑA </t>
  </si>
  <si>
    <t>13-02 Carne para esmechar.        1*3 kgr</t>
  </si>
  <si>
    <t xml:space="preserve">TODDY - CARNE MECHADA </t>
  </si>
  <si>
    <t xml:space="preserve">EMPANADA DE CARNE MECHADA </t>
  </si>
  <si>
    <t xml:space="preserve">AREPA CON QUESO - AVENA </t>
  </si>
  <si>
    <t xml:space="preserve">EMPANADA DE PESCADO </t>
  </si>
  <si>
    <t>TOSTADA FRANCESA</t>
  </si>
  <si>
    <t>SALTEADO DE CAMARÓN Y CALAMAR</t>
  </si>
  <si>
    <t>BOLGNA DE POLLO</t>
  </si>
  <si>
    <t xml:space="preserve">SALMÓN MEDITERRANEO </t>
  </si>
  <si>
    <t>CHOP SUEY - PASTA</t>
  </si>
  <si>
    <t xml:space="preserve"> MIX DE FRUTAS Y POSTRES (DULCE DE LECHOZA)</t>
  </si>
  <si>
    <t>FRIJOLES GUISADAS - SOPA DE POLLO</t>
  </si>
  <si>
    <t xml:space="preserve">ARROZ CON VEGETALES - PURÉ DE PAPAS </t>
  </si>
  <si>
    <t>JUGO PASTEURIZADO JUGO DE MORA (RC)</t>
  </si>
  <si>
    <t>YUCA AL AVAPOR - JOJOTO AL VAPOR</t>
  </si>
  <si>
    <t>PAPA AL HORNO</t>
  </si>
  <si>
    <t>GUASACACA - ENSALADA COLESLAW</t>
  </si>
  <si>
    <t xml:space="preserve">GUACAMOLE </t>
  </si>
  <si>
    <t>FRUTAS FRESCAS - DILCE DE LECHOZA</t>
  </si>
  <si>
    <t>05-05 Bicarbonato.        Bolsa/kgr</t>
  </si>
  <si>
    <t>05-07 Canela en polvo.       Bolsa/kgr</t>
  </si>
  <si>
    <t>05-08 Clavos de olor.       Bolsa/kgr</t>
  </si>
  <si>
    <t xml:space="preserve"> NESTEA</t>
  </si>
  <si>
    <t>GORDON BLUE</t>
  </si>
  <si>
    <t xml:space="preserve">ARROZ BLANCO </t>
  </si>
  <si>
    <t>PAPAS AL VAPOR</t>
  </si>
  <si>
    <t>PASTA AL HORNO RC</t>
  </si>
  <si>
    <t>PIZZA - PANES CON QUESO CREMA</t>
  </si>
  <si>
    <t xml:space="preserve">SANDWICH DE JAMÓN Y QUESO </t>
  </si>
  <si>
    <t xml:space="preserve">TORTA DE COCO </t>
  </si>
  <si>
    <t>06-10 Special K con pasas.      1*3*380 gr</t>
  </si>
  <si>
    <t>12 CAJAS DE AGUA DE 330 ML - 2 CAJAS DE AGUA DE 5 LTR</t>
  </si>
  <si>
    <t>03-09 Leche descremada l duracion.    1*12*1ltr</t>
  </si>
  <si>
    <t>FECHA: 17/ 07/ 2011</t>
  </si>
  <si>
    <t>AVENA - AREPA - TODDY</t>
  </si>
  <si>
    <t>PANQUECAS- EMPANADA INTEGRAL</t>
  </si>
  <si>
    <t>SALCHICHA - HUEVOS</t>
  </si>
  <si>
    <t>TOCINETA - ATÚN</t>
  </si>
  <si>
    <t>CARNE MECHADA (RC)</t>
  </si>
  <si>
    <t>04-05 Caraotas blancas.      1*24*500 grs.</t>
  </si>
  <si>
    <t>PARGO AL HINOJO</t>
  </si>
  <si>
    <t>LOMITO CON MOZZARELLA</t>
  </si>
  <si>
    <t>PASTA - PURÉ DE PAPAS</t>
  </si>
  <si>
    <t>ARROZ - CARAOTAS BLANCAS</t>
  </si>
  <si>
    <t xml:space="preserve">SOPAS DE POLLO </t>
  </si>
  <si>
    <t>JUGO DE PARCHITA</t>
  </si>
  <si>
    <t>15-14 Salchicha tipo winer            1*12*450 Gr</t>
  </si>
  <si>
    <t>COSTILLA BBQ</t>
  </si>
  <si>
    <t>ARROZ CHINO</t>
  </si>
  <si>
    <t>PAPAS FRITAS - TOSTONES</t>
  </si>
  <si>
    <t>CHOP SUEY - ARROZ BLANCO</t>
  </si>
  <si>
    <t>JUGO DE LECHOZA</t>
  </si>
  <si>
    <t>BANDEJA DE MELOCOTON</t>
  </si>
  <si>
    <t>ARROZ AMARILLO</t>
  </si>
  <si>
    <t>VEGETALES MIXTO</t>
  </si>
  <si>
    <t>PASTA</t>
  </si>
  <si>
    <t>MARISCOS CAZUELA RC</t>
  </si>
  <si>
    <t>POLLO AL HORNO CON PAPAS</t>
  </si>
  <si>
    <t>CREMA DE ARROZ  - AVENA - AREPA</t>
  </si>
  <si>
    <t>PANQUECAS</t>
  </si>
  <si>
    <t>POLLO MECHADO - TOCINETA</t>
  </si>
  <si>
    <t>SALCHICHA A LA PLANCHA.</t>
  </si>
  <si>
    <t>PASTELITOS CON CARNE MOLIDA - HUEVOS REVUELTOS.</t>
  </si>
  <si>
    <t>Servicio 1</t>
  </si>
  <si>
    <t>Servicio 2</t>
  </si>
  <si>
    <t>CONSUMIDO</t>
  </si>
  <si>
    <t>ESTIMADO</t>
  </si>
  <si>
    <t>Servicio 3</t>
  </si>
  <si>
    <t>Servicio 4</t>
  </si>
  <si>
    <t>Adicional 1</t>
  </si>
  <si>
    <t>Adicional 2</t>
  </si>
  <si>
    <t>INSUMO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</si>
</sst>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&quot;Bs&quot;\ #,##0.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 Rounded MT Bold"/>
      <family val="2"/>
    </font>
    <font>
      <b/>
      <sz val="11"/>
      <name val="Arial Unicode MS"/>
      <family val="2"/>
    </font>
    <font>
      <sz val="11"/>
      <name val="Arial Unicode MS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sz val="10"/>
      <name val="Calibri"/>
      <family val="2"/>
    </font>
    <font>
      <sz val="10"/>
      <color rgb="FF000000"/>
      <name val="Arial Unicode MS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7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left"/>
    </xf>
    <xf numFmtId="4" fontId="1" fillId="2" borderId="11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16" xfId="0" applyFont="1" applyFill="1" applyBorder="1"/>
    <xf numFmtId="0" fontId="1" fillId="2" borderId="15" xfId="0" applyFont="1" applyFill="1" applyBorder="1"/>
    <xf numFmtId="0" fontId="1" fillId="2" borderId="14" xfId="0" applyFont="1" applyFill="1" applyBorder="1"/>
    <xf numFmtId="0" fontId="2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left"/>
    </xf>
    <xf numFmtId="4" fontId="1" fillId="2" borderId="8" xfId="0" applyNumberFormat="1" applyFont="1" applyFill="1" applyBorder="1" applyAlignment="1">
      <alignment horizontal="left"/>
    </xf>
    <xf numFmtId="4" fontId="1" fillId="2" borderId="18" xfId="0" applyNumberFormat="1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1" fillId="2" borderId="14" xfId="0" applyNumberFormat="1" applyFont="1" applyFill="1" applyBorder="1"/>
    <xf numFmtId="0" fontId="1" fillId="2" borderId="19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4" fontId="1" fillId="2" borderId="14" xfId="0" applyNumberFormat="1" applyFont="1" applyFill="1" applyBorder="1"/>
    <xf numFmtId="164" fontId="3" fillId="2" borderId="8" xfId="0" applyNumberFormat="1" applyFont="1" applyFill="1" applyBorder="1" applyAlignment="1">
      <alignment horizontal="center"/>
    </xf>
    <xf numFmtId="0" fontId="1" fillId="2" borderId="14" xfId="0" applyNumberFormat="1" applyFont="1" applyFill="1" applyBorder="1"/>
    <xf numFmtId="4" fontId="1" fillId="0" borderId="8" xfId="0" applyNumberFormat="1" applyFont="1" applyFill="1" applyBorder="1" applyAlignment="1">
      <alignment horizontal="center"/>
    </xf>
    <xf numFmtId="0" fontId="5" fillId="2" borderId="0" xfId="0" applyFont="1" applyFill="1"/>
    <xf numFmtId="2" fontId="1" fillId="2" borderId="8" xfId="0" applyNumberFormat="1" applyFont="1" applyFill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3" borderId="2" xfId="0" applyNumberFormat="1" applyFont="1" applyFill="1" applyBorder="1"/>
    <xf numFmtId="0" fontId="1" fillId="3" borderId="16" xfId="0" applyNumberFormat="1" applyFont="1" applyFill="1" applyBorder="1"/>
    <xf numFmtId="0" fontId="1" fillId="3" borderId="23" xfId="0" applyNumberFormat="1" applyFont="1" applyFill="1" applyBorder="1"/>
    <xf numFmtId="0" fontId="1" fillId="3" borderId="24" xfId="0" applyNumberFormat="1" applyFont="1" applyFill="1" applyBorder="1"/>
    <xf numFmtId="2" fontId="0" fillId="0" borderId="8" xfId="0" applyNumberFormat="1" applyBorder="1" applyAlignment="1">
      <alignment horizontal="center"/>
    </xf>
    <xf numFmtId="0" fontId="4" fillId="3" borderId="15" xfId="0" applyNumberFormat="1" applyFont="1" applyFill="1" applyBorder="1"/>
    <xf numFmtId="0" fontId="4" fillId="3" borderId="25" xfId="0" applyNumberFormat="1" applyFont="1" applyFill="1" applyBorder="1"/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/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left"/>
    </xf>
    <xf numFmtId="2" fontId="10" fillId="0" borderId="7" xfId="0" quotePrefix="1" applyNumberFormat="1" applyFont="1" applyFill="1" applyBorder="1" applyAlignment="1">
      <alignment horizontal="center"/>
    </xf>
    <xf numFmtId="0" fontId="10" fillId="0" borderId="28" xfId="0" applyFont="1" applyBorder="1"/>
    <xf numFmtId="0" fontId="10" fillId="0" borderId="28" xfId="0" applyFont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2" fontId="10" fillId="0" borderId="8" xfId="0" quotePrefix="1" applyNumberFormat="1" applyFont="1" applyBorder="1" applyAlignment="1">
      <alignment horizontal="center"/>
    </xf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2" fontId="10" fillId="2" borderId="28" xfId="0" applyNumberFormat="1" applyFont="1" applyFill="1" applyBorder="1" applyAlignment="1">
      <alignment horizontal="center"/>
    </xf>
    <xf numFmtId="2" fontId="10" fillId="5" borderId="28" xfId="0" applyNumberFormat="1" applyFont="1" applyFill="1" applyBorder="1" applyAlignment="1">
      <alignment horizontal="center"/>
    </xf>
    <xf numFmtId="0" fontId="10" fillId="0" borderId="29" xfId="0" applyFont="1" applyBorder="1"/>
    <xf numFmtId="2" fontId="9" fillId="0" borderId="8" xfId="0" applyNumberFormat="1" applyFont="1" applyBorder="1" applyAlignment="1">
      <alignment horizontal="left"/>
    </xf>
    <xf numFmtId="0" fontId="10" fillId="4" borderId="2" xfId="0" applyFont="1" applyFill="1" applyBorder="1" applyAlignment="1">
      <alignment horizontal="center"/>
    </xf>
    <xf numFmtId="2" fontId="10" fillId="4" borderId="16" xfId="0" applyNumberFormat="1" applyFont="1" applyFill="1" applyBorder="1" applyAlignment="1">
      <alignment horizontal="left"/>
    </xf>
    <xf numFmtId="0" fontId="10" fillId="0" borderId="28" xfId="0" quotePrefix="1" applyFont="1" applyBorder="1" applyAlignment="1">
      <alignment horizontal="center"/>
    </xf>
    <xf numFmtId="0" fontId="10" fillId="0" borderId="8" xfId="0" quotePrefix="1" applyFont="1" applyBorder="1" applyAlignment="1">
      <alignment horizontal="center"/>
    </xf>
    <xf numFmtId="2" fontId="10" fillId="4" borderId="2" xfId="0" applyNumberFormat="1" applyFont="1" applyFill="1" applyBorder="1" applyAlignment="1">
      <alignment horizontal="left"/>
    </xf>
    <xf numFmtId="0" fontId="10" fillId="2" borderId="8" xfId="0" applyFont="1" applyFill="1" applyBorder="1"/>
    <xf numFmtId="0" fontId="10" fillId="0" borderId="8" xfId="0" quotePrefix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left"/>
    </xf>
    <xf numFmtId="0" fontId="10" fillId="2" borderId="28" xfId="0" quotePrefix="1" applyFont="1" applyFill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0" fontId="10" fillId="2" borderId="8" xfId="0" quotePrefix="1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0" fillId="0" borderId="28" xfId="0" quotePrefix="1" applyFont="1" applyFill="1" applyBorder="1" applyAlignment="1">
      <alignment horizontal="center"/>
    </xf>
    <xf numFmtId="0" fontId="10" fillId="0" borderId="11" xfId="0" applyFont="1" applyBorder="1"/>
    <xf numFmtId="2" fontId="9" fillId="0" borderId="11" xfId="0" applyNumberFormat="1" applyFont="1" applyBorder="1" applyAlignment="1">
      <alignment horizontal="center"/>
    </xf>
    <xf numFmtId="0" fontId="10" fillId="4" borderId="23" xfId="0" applyFont="1" applyFill="1" applyBorder="1"/>
    <xf numFmtId="2" fontId="10" fillId="4" borderId="23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center"/>
    </xf>
    <xf numFmtId="1" fontId="15" fillId="0" borderId="31" xfId="0" applyNumberFormat="1" applyFont="1" applyFill="1" applyBorder="1" applyAlignment="1">
      <alignment horizontal="center"/>
    </xf>
    <xf numFmtId="1" fontId="15" fillId="0" borderId="32" xfId="0" applyNumberFormat="1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4" fontId="16" fillId="8" borderId="14" xfId="0" applyNumberFormat="1" applyFont="1" applyFill="1" applyBorder="1" applyAlignment="1">
      <alignment horizontal="center"/>
    </xf>
    <xf numFmtId="0" fontId="16" fillId="8" borderId="14" xfId="0" applyFont="1" applyFill="1" applyBorder="1" applyAlignment="1">
      <alignment horizontal="center"/>
    </xf>
    <xf numFmtId="166" fontId="15" fillId="0" borderId="30" xfId="0" applyNumberFormat="1" applyFont="1" applyFill="1" applyBorder="1" applyAlignment="1">
      <alignment horizontal="center"/>
    </xf>
    <xf numFmtId="166" fontId="15" fillId="0" borderId="31" xfId="0" applyNumberFormat="1" applyFont="1" applyFill="1" applyBorder="1" applyAlignment="1">
      <alignment horizontal="center"/>
    </xf>
    <xf numFmtId="166" fontId="15" fillId="0" borderId="14" xfId="0" applyNumberFormat="1" applyFont="1" applyFill="1" applyBorder="1" applyAlignment="1">
      <alignment horizontal="center"/>
    </xf>
    <xf numFmtId="166" fontId="15" fillId="0" borderId="32" xfId="0" applyNumberFormat="1" applyFont="1" applyFill="1" applyBorder="1" applyAlignment="1">
      <alignment horizontal="center"/>
    </xf>
    <xf numFmtId="2" fontId="7" fillId="0" borderId="0" xfId="0" applyNumberFormat="1" applyFont="1"/>
    <xf numFmtId="1" fontId="15" fillId="0" borderId="36" xfId="0" applyNumberFormat="1" applyFont="1" applyFill="1" applyBorder="1" applyAlignment="1">
      <alignment horizontal="center"/>
    </xf>
    <xf numFmtId="4" fontId="16" fillId="6" borderId="16" xfId="0" applyNumberFormat="1" applyFont="1" applyFill="1" applyBorder="1" applyAlignment="1">
      <alignment horizontal="center"/>
    </xf>
    <xf numFmtId="4" fontId="16" fillId="0" borderId="38" xfId="0" applyNumberFormat="1" applyFont="1" applyFill="1" applyBorder="1" applyAlignment="1">
      <alignment horizontal="center"/>
    </xf>
    <xf numFmtId="166" fontId="15" fillId="0" borderId="2" xfId="0" applyNumberFormat="1" applyFont="1" applyFill="1" applyBorder="1" applyAlignment="1">
      <alignment horizontal="center"/>
    </xf>
    <xf numFmtId="4" fontId="16" fillId="0" borderId="37" xfId="0" applyNumberFormat="1" applyFont="1" applyFill="1" applyBorder="1" applyAlignment="1">
      <alignment horizontal="center"/>
    </xf>
    <xf numFmtId="4" fontId="16" fillId="8" borderId="13" xfId="0" applyNumberFormat="1" applyFont="1" applyFill="1" applyBorder="1" applyAlignment="1">
      <alignment horizontal="center"/>
    </xf>
    <xf numFmtId="4" fontId="16" fillId="0" borderId="39" xfId="0" applyNumberFormat="1" applyFont="1" applyFill="1" applyBorder="1" applyAlignment="1">
      <alignment horizontal="center"/>
    </xf>
    <xf numFmtId="166" fontId="15" fillId="0" borderId="40" xfId="0" applyNumberFormat="1" applyFont="1" applyFill="1" applyBorder="1" applyAlignment="1">
      <alignment horizontal="center"/>
    </xf>
    <xf numFmtId="166" fontId="15" fillId="0" borderId="36" xfId="0" applyNumberFormat="1" applyFont="1" applyFill="1" applyBorder="1" applyAlignment="1">
      <alignment horizontal="center"/>
    </xf>
    <xf numFmtId="4" fontId="16" fillId="6" borderId="14" xfId="0" applyNumberFormat="1" applyFont="1" applyFill="1" applyBorder="1" applyAlignment="1">
      <alignment horizontal="center"/>
    </xf>
    <xf numFmtId="4" fontId="16" fillId="6" borderId="40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15" fillId="10" borderId="0" xfId="0" applyFont="1" applyFill="1" applyBorder="1"/>
    <xf numFmtId="1" fontId="15" fillId="10" borderId="30" xfId="0" applyNumberFormat="1" applyFont="1" applyFill="1" applyBorder="1" applyAlignment="1">
      <alignment horizontal="center"/>
    </xf>
    <xf numFmtId="166" fontId="15" fillId="10" borderId="30" xfId="0" applyNumberFormat="1" applyFont="1" applyFill="1" applyBorder="1" applyAlignment="1">
      <alignment horizontal="center"/>
    </xf>
    <xf numFmtId="166" fontId="15" fillId="10" borderId="31" xfId="0" applyNumberFormat="1" applyFont="1" applyFill="1" applyBorder="1" applyAlignment="1">
      <alignment horizontal="center"/>
    </xf>
    <xf numFmtId="1" fontId="15" fillId="10" borderId="31" xfId="0" applyNumberFormat="1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6" fillId="10" borderId="0" xfId="0" applyFont="1" applyFill="1" applyBorder="1"/>
    <xf numFmtId="0" fontId="15" fillId="10" borderId="37" xfId="0" applyFont="1" applyFill="1" applyBorder="1"/>
    <xf numFmtId="4" fontId="15" fillId="10" borderId="33" xfId="0" applyNumberFormat="1" applyFont="1" applyFill="1" applyBorder="1" applyAlignment="1">
      <alignment horizontal="center"/>
    </xf>
    <xf numFmtId="4" fontId="15" fillId="10" borderId="34" xfId="0" applyNumberFormat="1" applyFont="1" applyFill="1" applyBorder="1" applyAlignment="1">
      <alignment horizontal="center"/>
    </xf>
    <xf numFmtId="4" fontId="16" fillId="8" borderId="16" xfId="0" applyNumberFormat="1" applyFont="1" applyFill="1" applyBorder="1" applyAlignment="1">
      <alignment horizontal="center"/>
    </xf>
    <xf numFmtId="166" fontId="15" fillId="0" borderId="13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8" borderId="24" xfId="0" applyNumberFormat="1" applyFont="1" applyFill="1" applyBorder="1" applyAlignment="1">
      <alignment horizontal="center"/>
    </xf>
    <xf numFmtId="0" fontId="15" fillId="0" borderId="31" xfId="0" applyNumberFormat="1" applyFont="1" applyFill="1" applyBorder="1" applyAlignment="1">
      <alignment horizontal="center"/>
    </xf>
    <xf numFmtId="4" fontId="15" fillId="0" borderId="31" xfId="0" applyNumberFormat="1" applyFont="1" applyFill="1" applyBorder="1" applyAlignment="1">
      <alignment horizontal="center"/>
    </xf>
    <xf numFmtId="4" fontId="15" fillId="0" borderId="14" xfId="0" applyNumberFormat="1" applyFont="1" applyFill="1" applyBorder="1" applyAlignment="1">
      <alignment horizontal="center"/>
    </xf>
    <xf numFmtId="4" fontId="20" fillId="10" borderId="8" xfId="0" applyNumberFormat="1" applyFont="1" applyFill="1" applyBorder="1" applyAlignment="1">
      <alignment horizontal="center"/>
    </xf>
    <xf numFmtId="0" fontId="20" fillId="10" borderId="8" xfId="0" quotePrefix="1" applyFont="1" applyFill="1" applyBorder="1" applyAlignment="1" applyProtection="1">
      <alignment horizontal="center"/>
    </xf>
    <xf numFmtId="4" fontId="20" fillId="10" borderId="8" xfId="0" applyNumberFormat="1" applyFont="1" applyFill="1" applyBorder="1" applyAlignment="1" applyProtection="1">
      <alignment horizontal="center" vertical="center"/>
    </xf>
    <xf numFmtId="0" fontId="20" fillId="10" borderId="18" xfId="0" applyFont="1" applyFill="1" applyBorder="1" applyAlignment="1" applyProtection="1">
      <alignment horizontal="left"/>
    </xf>
    <xf numFmtId="4" fontId="20" fillId="10" borderId="22" xfId="0" applyNumberFormat="1" applyFont="1" applyFill="1" applyBorder="1"/>
    <xf numFmtId="0" fontId="7" fillId="0" borderId="8" xfId="0" applyFont="1" applyBorder="1" applyAlignment="1">
      <alignment horizontal="left"/>
    </xf>
    <xf numFmtId="49" fontId="15" fillId="10" borderId="30" xfId="0" applyNumberFormat="1" applyFont="1" applyFill="1" applyBorder="1" applyAlignment="1" applyProtection="1">
      <alignment horizontal="left"/>
      <protection locked="0"/>
    </xf>
    <xf numFmtId="49" fontId="15" fillId="10" borderId="31" xfId="0" applyNumberFormat="1" applyFont="1" applyFill="1" applyBorder="1" applyAlignment="1" applyProtection="1">
      <alignment horizontal="left"/>
      <protection locked="0"/>
    </xf>
    <xf numFmtId="49" fontId="15" fillId="0" borderId="31" xfId="0" applyNumberFormat="1" applyFont="1" applyFill="1" applyBorder="1" applyAlignment="1" applyProtection="1">
      <alignment horizontal="left"/>
      <protection locked="0"/>
    </xf>
    <xf numFmtId="49" fontId="15" fillId="0" borderId="32" xfId="0" applyNumberFormat="1" applyFont="1" applyFill="1" applyBorder="1" applyAlignment="1" applyProtection="1">
      <alignment horizontal="left"/>
      <protection locked="0"/>
    </xf>
    <xf numFmtId="4" fontId="15" fillId="10" borderId="33" xfId="0" applyNumberFormat="1" applyFont="1" applyFill="1" applyBorder="1" applyAlignment="1" applyProtection="1">
      <alignment horizontal="center"/>
      <protection locked="0"/>
    </xf>
    <xf numFmtId="4" fontId="15" fillId="10" borderId="34" xfId="0" applyNumberFormat="1" applyFont="1" applyFill="1" applyBorder="1" applyAlignment="1" applyProtection="1">
      <alignment horizontal="center"/>
      <protection locked="0"/>
    </xf>
    <xf numFmtId="1" fontId="15" fillId="10" borderId="31" xfId="0" applyNumberFormat="1" applyFont="1" applyFill="1" applyBorder="1" applyAlignment="1" applyProtection="1">
      <alignment horizontal="center"/>
      <protection locked="0"/>
    </xf>
    <xf numFmtId="1" fontId="15" fillId="0" borderId="31" xfId="0" applyNumberFormat="1" applyFont="1" applyFill="1" applyBorder="1" applyAlignment="1" applyProtection="1">
      <alignment horizontal="center"/>
      <protection locked="0"/>
    </xf>
    <xf numFmtId="1" fontId="15" fillId="0" borderId="32" xfId="0" applyNumberFormat="1" applyFont="1" applyFill="1" applyBorder="1" applyAlignment="1" applyProtection="1">
      <alignment horizontal="center"/>
      <protection locked="0"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1" fontId="15" fillId="10" borderId="30" xfId="0" applyNumberFormat="1" applyFont="1" applyFill="1" applyBorder="1" applyAlignment="1" applyProtection="1">
      <alignment horizontal="center"/>
      <protection locked="0"/>
    </xf>
    <xf numFmtId="1" fontId="15" fillId="0" borderId="36" xfId="0" applyNumberFormat="1" applyFont="1" applyFill="1" applyBorder="1" applyAlignment="1" applyProtection="1">
      <alignment horizontal="center"/>
      <protection locked="0"/>
    </xf>
    <xf numFmtId="4" fontId="15" fillId="0" borderId="14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49" fontId="15" fillId="0" borderId="36" xfId="0" applyNumberFormat="1" applyFont="1" applyFill="1" applyBorder="1" applyAlignment="1" applyProtection="1">
      <alignment horizontal="left"/>
      <protection locked="0"/>
    </xf>
    <xf numFmtId="4" fontId="15" fillId="0" borderId="34" xfId="0" applyNumberFormat="1" applyFont="1" applyFill="1" applyBorder="1" applyAlignment="1" applyProtection="1">
      <alignment horizontal="center"/>
      <protection locked="0"/>
    </xf>
    <xf numFmtId="4" fontId="15" fillId="0" borderId="3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1" fontId="15" fillId="10" borderId="50" xfId="0" applyNumberFormat="1" applyFont="1" applyFill="1" applyBorder="1" applyAlignment="1">
      <alignment horizontal="center"/>
    </xf>
    <xf numFmtId="49" fontId="15" fillId="10" borderId="36" xfId="0" applyNumberFormat="1" applyFont="1" applyFill="1" applyBorder="1" applyAlignment="1" applyProtection="1">
      <alignment horizontal="left"/>
      <protection locked="0"/>
    </xf>
    <xf numFmtId="2" fontId="9" fillId="4" borderId="41" xfId="0" applyNumberFormat="1" applyFont="1" applyFill="1" applyBorder="1" applyAlignment="1">
      <alignment horizontal="center"/>
    </xf>
    <xf numFmtId="0" fontId="9" fillId="4" borderId="42" xfId="0" applyFont="1" applyFill="1" applyBorder="1" applyAlignment="1"/>
    <xf numFmtId="2" fontId="9" fillId="4" borderId="11" xfId="0" applyNumberFormat="1" applyFont="1" applyFill="1" applyBorder="1" applyAlignment="1">
      <alignment horizontal="center"/>
    </xf>
    <xf numFmtId="0" fontId="9" fillId="4" borderId="11" xfId="0" applyFont="1" applyFill="1" applyBorder="1" applyAlignment="1"/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8" xfId="0" applyFont="1" applyBorder="1" applyAlignment="1"/>
    <xf numFmtId="0" fontId="4" fillId="9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16" fillId="0" borderId="35" xfId="0" applyNumberFormat="1" applyFont="1" applyFill="1" applyBorder="1" applyAlignment="1" applyProtection="1">
      <alignment horizontal="center"/>
      <protection locked="0"/>
    </xf>
    <xf numFmtId="0" fontId="16" fillId="0" borderId="46" xfId="0" applyNumberFormat="1" applyFont="1" applyFill="1" applyBorder="1" applyAlignment="1" applyProtection="1">
      <alignment horizontal="center"/>
      <protection locked="0"/>
    </xf>
    <xf numFmtId="0" fontId="16" fillId="0" borderId="47" xfId="0" applyNumberFormat="1" applyFont="1" applyFill="1" applyBorder="1" applyAlignment="1" applyProtection="1">
      <alignment horizontal="center"/>
      <protection locked="0"/>
    </xf>
    <xf numFmtId="0" fontId="18" fillId="7" borderId="15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16" xfId="0" applyFont="1" applyFill="1" applyBorder="1" applyAlignment="1">
      <alignment horizontal="center"/>
    </xf>
    <xf numFmtId="0" fontId="16" fillId="0" borderId="33" xfId="0" applyNumberFormat="1" applyFont="1" applyFill="1" applyBorder="1" applyAlignment="1" applyProtection="1">
      <alignment horizontal="center"/>
      <protection locked="0"/>
    </xf>
    <xf numFmtId="0" fontId="16" fillId="0" borderId="48" xfId="0" applyNumberFormat="1" applyFont="1" applyFill="1" applyBorder="1" applyAlignment="1" applyProtection="1">
      <alignment horizontal="center"/>
      <protection locked="0"/>
    </xf>
    <xf numFmtId="0" fontId="16" fillId="0" borderId="6" xfId="0" applyNumberFormat="1" applyFont="1" applyFill="1" applyBorder="1" applyAlignment="1" applyProtection="1">
      <alignment horizontal="center"/>
      <protection locked="0"/>
    </xf>
    <xf numFmtId="0" fontId="16" fillId="0" borderId="34" xfId="0" applyNumberFormat="1" applyFont="1" applyFill="1" applyBorder="1" applyAlignment="1" applyProtection="1">
      <alignment horizontal="center"/>
      <protection locked="0"/>
    </xf>
    <xf numFmtId="0" fontId="16" fillId="0" borderId="49" xfId="0" applyNumberFormat="1" applyFont="1" applyFill="1" applyBorder="1" applyAlignment="1" applyProtection="1">
      <alignment horizontal="center"/>
      <protection locked="0"/>
    </xf>
    <xf numFmtId="0" fontId="16" fillId="0" borderId="50" xfId="0" applyNumberFormat="1" applyFont="1" applyFill="1" applyBorder="1" applyAlignment="1" applyProtection="1">
      <alignment horizontal="center"/>
      <protection locked="0"/>
    </xf>
    <xf numFmtId="0" fontId="28" fillId="0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49" xfId="0" applyNumberFormat="1" applyFont="1" applyFill="1" applyBorder="1" applyAlignment="1" applyProtection="1">
      <alignment horizontal="center" vertical="center"/>
      <protection locked="0"/>
    </xf>
    <xf numFmtId="0" fontId="16" fillId="0" borderId="5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>
      <alignment horizontal="center"/>
    </xf>
    <xf numFmtId="0" fontId="9" fillId="10" borderId="51" xfId="0" applyFont="1" applyFill="1" applyBorder="1" applyAlignment="1">
      <alignment horizontal="center" vertical="center" wrapText="1"/>
    </xf>
    <xf numFmtId="0" fontId="9" fillId="10" borderId="54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7" fillId="10" borderId="0" xfId="0" applyFont="1" applyFill="1"/>
    <xf numFmtId="0" fontId="11" fillId="10" borderId="8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 vertical="center" wrapText="1"/>
    </xf>
    <xf numFmtId="4" fontId="20" fillId="10" borderId="22" xfId="0" applyNumberFormat="1" applyFont="1" applyFill="1" applyBorder="1" applyProtection="1"/>
    <xf numFmtId="2" fontId="10" fillId="10" borderId="8" xfId="0" applyNumberFormat="1" applyFont="1" applyFill="1" applyBorder="1" applyAlignment="1">
      <alignment horizontal="center" vertical="center" wrapText="1"/>
    </xf>
    <xf numFmtId="0" fontId="7" fillId="10" borderId="8" xfId="0" applyFont="1" applyFill="1" applyBorder="1"/>
    <xf numFmtId="2" fontId="7" fillId="10" borderId="8" xfId="0" applyNumberFormat="1" applyFont="1" applyFill="1" applyBorder="1"/>
    <xf numFmtId="49" fontId="10" fillId="10" borderId="52" xfId="0" applyNumberFormat="1" applyFont="1" applyFill="1" applyBorder="1" applyAlignment="1">
      <alignment horizontal="center"/>
    </xf>
    <xf numFmtId="2" fontId="10" fillId="10" borderId="28" xfId="0" applyNumberFormat="1" applyFont="1" applyFill="1" applyBorder="1" applyAlignment="1">
      <alignment horizontal="center"/>
    </xf>
    <xf numFmtId="49" fontId="10" fillId="10" borderId="7" xfId="0" applyNumberFormat="1" applyFont="1" applyFill="1" applyBorder="1" applyAlignment="1">
      <alignment horizontal="center"/>
    </xf>
    <xf numFmtId="4" fontId="20" fillId="10" borderId="18" xfId="0" applyNumberFormat="1" applyFont="1" applyFill="1" applyBorder="1" applyProtection="1"/>
    <xf numFmtId="2" fontId="10" fillId="10" borderId="8" xfId="0" applyNumberFormat="1" applyFont="1" applyFill="1" applyBorder="1" applyAlignment="1">
      <alignment horizontal="center"/>
    </xf>
    <xf numFmtId="4" fontId="21" fillId="10" borderId="18" xfId="0" applyNumberFormat="1" applyFont="1" applyFill="1" applyBorder="1" applyProtection="1"/>
    <xf numFmtId="4" fontId="20" fillId="10" borderId="18" xfId="0" applyNumberFormat="1" applyFont="1" applyFill="1" applyBorder="1"/>
    <xf numFmtId="4" fontId="21" fillId="10" borderId="18" xfId="0" applyNumberFormat="1" applyFont="1" applyFill="1" applyBorder="1"/>
    <xf numFmtId="49" fontId="10" fillId="10" borderId="28" xfId="0" applyNumberFormat="1" applyFont="1" applyFill="1" applyBorder="1" applyAlignment="1">
      <alignment horizontal="center"/>
    </xf>
    <xf numFmtId="4" fontId="20" fillId="10" borderId="55" xfId="0" applyNumberFormat="1" applyFont="1" applyFill="1" applyBorder="1"/>
    <xf numFmtId="0" fontId="20" fillId="10" borderId="18" xfId="0" applyFont="1" applyFill="1" applyBorder="1" applyProtection="1"/>
    <xf numFmtId="49" fontId="10" fillId="10" borderId="8" xfId="0" applyNumberFormat="1" applyFont="1" applyFill="1" applyBorder="1" applyAlignment="1">
      <alignment horizontal="center"/>
    </xf>
    <xf numFmtId="4" fontId="20" fillId="10" borderId="53" xfId="0" applyNumberFormat="1" applyFont="1" applyFill="1" applyBorder="1" applyProtection="1"/>
    <xf numFmtId="0" fontId="10" fillId="10" borderId="0" xfId="0" applyFont="1" applyFill="1" applyProtection="1"/>
    <xf numFmtId="4" fontId="23" fillId="10" borderId="18" xfId="0" applyNumberFormat="1" applyFont="1" applyFill="1" applyBorder="1" applyProtection="1"/>
    <xf numFmtId="4" fontId="21" fillId="10" borderId="8" xfId="0" applyNumberFormat="1" applyFont="1" applyFill="1" applyBorder="1" applyAlignment="1" applyProtection="1">
      <alignment horizontal="center" vertical="center"/>
    </xf>
    <xf numFmtId="0" fontId="20" fillId="11" borderId="18" xfId="0" applyFont="1" applyFill="1" applyBorder="1" applyAlignment="1" applyProtection="1"/>
    <xf numFmtId="0" fontId="20" fillId="11" borderId="18" xfId="0" applyFont="1" applyFill="1" applyBorder="1" applyAlignment="1" applyProtection="1">
      <alignment horizontal="left"/>
    </xf>
    <xf numFmtId="4" fontId="21" fillId="10" borderId="8" xfId="0" applyNumberFormat="1" applyFont="1" applyFill="1" applyBorder="1" applyAlignment="1">
      <alignment horizontal="center"/>
    </xf>
    <xf numFmtId="2" fontId="10" fillId="11" borderId="28" xfId="0" applyNumberFormat="1" applyFont="1" applyFill="1" applyBorder="1" applyAlignment="1">
      <alignment horizontal="center"/>
    </xf>
    <xf numFmtId="4" fontId="20" fillId="11" borderId="18" xfId="0" applyNumberFormat="1" applyFont="1" applyFill="1" applyBorder="1"/>
    <xf numFmtId="0" fontId="20" fillId="10" borderId="53" xfId="0" applyFont="1" applyFill="1" applyBorder="1" applyProtection="1"/>
    <xf numFmtId="0" fontId="20" fillId="10" borderId="28" xfId="0" quotePrefix="1" applyFont="1" applyFill="1" applyBorder="1" applyAlignment="1" applyProtection="1">
      <alignment horizontal="center"/>
    </xf>
    <xf numFmtId="4" fontId="20" fillId="10" borderId="18" xfId="0" applyNumberFormat="1" applyFont="1" applyFill="1" applyBorder="1" applyAlignment="1" applyProtection="1">
      <alignment horizontal="left"/>
    </xf>
    <xf numFmtId="4" fontId="20" fillId="10" borderId="22" xfId="0" applyNumberFormat="1" applyFont="1" applyFill="1" applyBorder="1" applyAlignment="1" applyProtection="1">
      <alignment horizontal="left"/>
    </xf>
    <xf numFmtId="4" fontId="20" fillId="10" borderId="55" xfId="0" applyNumberFormat="1" applyFont="1" applyFill="1" applyBorder="1" applyProtection="1"/>
    <xf numFmtId="0" fontId="20" fillId="10" borderId="0" xfId="0" applyFont="1" applyFill="1" applyProtection="1"/>
    <xf numFmtId="0" fontId="24" fillId="10" borderId="0" xfId="0" applyFont="1" applyFill="1" applyProtection="1"/>
    <xf numFmtId="4" fontId="20" fillId="10" borderId="22" xfId="0" applyNumberFormat="1" applyFont="1" applyFill="1" applyBorder="1" applyAlignment="1">
      <alignment horizontal="left"/>
    </xf>
    <xf numFmtId="0" fontId="20" fillId="10" borderId="8" xfId="0" quotePrefix="1" applyFont="1" applyFill="1" applyBorder="1" applyAlignment="1" applyProtection="1">
      <alignment horizontal="center"/>
      <protection locked="0"/>
    </xf>
    <xf numFmtId="4" fontId="20" fillId="10" borderId="53" xfId="0" applyNumberFormat="1" applyFont="1" applyFill="1" applyBorder="1" applyAlignment="1" applyProtection="1">
      <alignment horizontal="left"/>
    </xf>
    <xf numFmtId="4" fontId="20" fillId="10" borderId="18" xfId="0" applyNumberFormat="1" applyFont="1" applyFill="1" applyBorder="1" applyAlignment="1">
      <alignment horizontal="left"/>
    </xf>
    <xf numFmtId="4" fontId="20" fillId="10" borderId="53" xfId="0" applyNumberFormat="1" applyFont="1" applyFill="1" applyBorder="1"/>
    <xf numFmtId="0" fontId="10" fillId="10" borderId="18" xfId="0" applyFont="1" applyFill="1" applyBorder="1"/>
    <xf numFmtId="0" fontId="7" fillId="10" borderId="8" xfId="0" applyFont="1" applyFill="1" applyBorder="1" applyAlignment="1">
      <alignment horizontal="left"/>
    </xf>
    <xf numFmtId="0" fontId="18" fillId="10" borderId="15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10" borderId="16" xfId="0" applyFont="1" applyFill="1" applyBorder="1" applyAlignment="1">
      <alignment horizontal="center"/>
    </xf>
    <xf numFmtId="0" fontId="16" fillId="10" borderId="15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49" fontId="15" fillId="10" borderId="32" xfId="0" applyNumberFormat="1" applyFont="1" applyFill="1" applyBorder="1" applyAlignment="1" applyProtection="1">
      <alignment horizontal="left"/>
      <protection locked="0"/>
    </xf>
    <xf numFmtId="1" fontId="15" fillId="10" borderId="32" xfId="0" applyNumberFormat="1" applyFont="1" applyFill="1" applyBorder="1" applyAlignment="1">
      <alignment horizontal="center"/>
    </xf>
    <xf numFmtId="1" fontId="15" fillId="10" borderId="32" xfId="0" applyNumberFormat="1" applyFont="1" applyFill="1" applyBorder="1" applyAlignment="1" applyProtection="1">
      <alignment horizontal="center"/>
      <protection locked="0"/>
    </xf>
    <xf numFmtId="4" fontId="16" fillId="10" borderId="16" xfId="0" applyNumberFormat="1" applyFont="1" applyFill="1" applyBorder="1" applyAlignment="1">
      <alignment horizontal="center"/>
    </xf>
    <xf numFmtId="4" fontId="16" fillId="10" borderId="0" xfId="0" applyNumberFormat="1" applyFont="1" applyFill="1" applyBorder="1" applyAlignment="1">
      <alignment horizontal="center"/>
    </xf>
    <xf numFmtId="4" fontId="16" fillId="10" borderId="38" xfId="0" applyNumberFormat="1" applyFont="1" applyFill="1" applyBorder="1" applyAlignment="1">
      <alignment horizontal="center"/>
    </xf>
    <xf numFmtId="166" fontId="15" fillId="10" borderId="2" xfId="0" applyNumberFormat="1" applyFont="1" applyFill="1" applyBorder="1" applyAlignment="1">
      <alignment horizontal="center"/>
    </xf>
    <xf numFmtId="4" fontId="16" fillId="10" borderId="14" xfId="0" applyNumberFormat="1" applyFont="1" applyFill="1" applyBorder="1" applyAlignment="1">
      <alignment horizontal="center"/>
    </xf>
    <xf numFmtId="166" fontId="15" fillId="10" borderId="14" xfId="0" applyNumberFormat="1" applyFont="1" applyFill="1" applyBorder="1" applyAlignment="1">
      <alignment horizontal="center"/>
    </xf>
    <xf numFmtId="4" fontId="16" fillId="10" borderId="37" xfId="0" applyNumberFormat="1" applyFont="1" applyFill="1" applyBorder="1" applyAlignment="1">
      <alignment horizontal="center"/>
    </xf>
    <xf numFmtId="4" fontId="16" fillId="10" borderId="13" xfId="0" applyNumberFormat="1" applyFont="1" applyFill="1" applyBorder="1" applyAlignment="1">
      <alignment horizontal="center"/>
    </xf>
    <xf numFmtId="4" fontId="16" fillId="10" borderId="39" xfId="0" applyNumberFormat="1" applyFont="1" applyFill="1" applyBorder="1" applyAlignment="1">
      <alignment horizontal="center"/>
    </xf>
    <xf numFmtId="4" fontId="15" fillId="10" borderId="14" xfId="0" applyNumberFormat="1" applyFont="1" applyFill="1" applyBorder="1" applyAlignment="1">
      <alignment horizontal="center"/>
    </xf>
    <xf numFmtId="0" fontId="15" fillId="10" borderId="14" xfId="0" applyNumberFormat="1" applyFont="1" applyFill="1" applyBorder="1" applyAlignment="1" applyProtection="1">
      <alignment horizontal="center"/>
      <protection locked="0"/>
    </xf>
    <xf numFmtId="4" fontId="16" fillId="10" borderId="40" xfId="0" applyNumberFormat="1" applyFont="1" applyFill="1" applyBorder="1" applyAlignment="1">
      <alignment horizontal="center"/>
    </xf>
    <xf numFmtId="0" fontId="16" fillId="10" borderId="33" xfId="0" applyNumberFormat="1" applyFont="1" applyFill="1" applyBorder="1" applyAlignment="1" applyProtection="1">
      <alignment horizontal="center" vertical="center"/>
      <protection locked="0"/>
    </xf>
    <xf numFmtId="0" fontId="16" fillId="10" borderId="48" xfId="0" applyNumberFormat="1" applyFont="1" applyFill="1" applyBorder="1" applyAlignment="1" applyProtection="1">
      <alignment horizontal="center" vertical="center"/>
      <protection locked="0"/>
    </xf>
    <xf numFmtId="0" fontId="16" fillId="10" borderId="6" xfId="0" applyNumberFormat="1" applyFont="1" applyFill="1" applyBorder="1" applyAlignment="1" applyProtection="1">
      <alignment horizontal="center" vertical="center"/>
      <protection locked="0"/>
    </xf>
    <xf numFmtId="0" fontId="16" fillId="10" borderId="34" xfId="0" applyNumberFormat="1" applyFont="1" applyFill="1" applyBorder="1" applyAlignment="1" applyProtection="1">
      <alignment horizontal="center"/>
      <protection locked="0"/>
    </xf>
    <xf numFmtId="0" fontId="16" fillId="10" borderId="49" xfId="0" applyNumberFormat="1" applyFont="1" applyFill="1" applyBorder="1" applyAlignment="1" applyProtection="1">
      <alignment horizontal="center"/>
      <protection locked="0"/>
    </xf>
    <xf numFmtId="0" fontId="16" fillId="10" borderId="50" xfId="0" applyNumberFormat="1" applyFont="1" applyFill="1" applyBorder="1" applyAlignment="1" applyProtection="1">
      <alignment horizontal="center"/>
      <protection locked="0"/>
    </xf>
    <xf numFmtId="0" fontId="16" fillId="10" borderId="35" xfId="0" applyNumberFormat="1" applyFont="1" applyFill="1" applyBorder="1" applyAlignment="1" applyProtection="1">
      <alignment horizontal="center"/>
      <protection locked="0"/>
    </xf>
    <xf numFmtId="0" fontId="16" fillId="10" borderId="46" xfId="0" applyNumberFormat="1" applyFont="1" applyFill="1" applyBorder="1" applyAlignment="1" applyProtection="1">
      <alignment horizontal="center"/>
      <protection locked="0"/>
    </xf>
    <xf numFmtId="0" fontId="16" fillId="10" borderId="47" xfId="0" applyNumberFormat="1" applyFont="1" applyFill="1" applyBorder="1" applyAlignment="1" applyProtection="1">
      <alignment horizontal="center"/>
      <protection locked="0"/>
    </xf>
    <xf numFmtId="1" fontId="15" fillId="10" borderId="36" xfId="0" applyNumberFormat="1" applyFont="1" applyFill="1" applyBorder="1" applyAlignment="1" applyProtection="1">
      <alignment horizontal="center"/>
      <protection locked="0"/>
    </xf>
    <xf numFmtId="166" fontId="15" fillId="10" borderId="32" xfId="0" applyNumberFormat="1" applyFont="1" applyFill="1" applyBorder="1" applyAlignment="1">
      <alignment horizontal="center"/>
    </xf>
    <xf numFmtId="166" fontId="15" fillId="10" borderId="36" xfId="0" applyNumberFormat="1" applyFont="1" applyFill="1" applyBorder="1" applyAlignment="1">
      <alignment horizontal="center"/>
    </xf>
    <xf numFmtId="4" fontId="16" fillId="10" borderId="21" xfId="0" applyNumberFormat="1" applyFont="1" applyFill="1" applyBorder="1" applyAlignment="1">
      <alignment horizontal="center"/>
    </xf>
    <xf numFmtId="4" fontId="16" fillId="10" borderId="24" xfId="0" applyNumberFormat="1" applyFont="1" applyFill="1" applyBorder="1" applyAlignment="1">
      <alignment horizontal="center"/>
    </xf>
    <xf numFmtId="4" fontId="15" fillId="10" borderId="31" xfId="0" applyNumberFormat="1" applyFont="1" applyFill="1" applyBorder="1" applyAlignment="1">
      <alignment horizontal="center"/>
    </xf>
    <xf numFmtId="4" fontId="15" fillId="10" borderId="14" xfId="0" applyNumberFormat="1" applyFont="1" applyFill="1" applyBorder="1" applyAlignment="1" applyProtection="1">
      <alignment horizontal="center"/>
      <protection locked="0"/>
    </xf>
    <xf numFmtId="0" fontId="16" fillId="10" borderId="33" xfId="0" applyNumberFormat="1" applyFont="1" applyFill="1" applyBorder="1" applyAlignment="1" applyProtection="1">
      <alignment horizontal="center"/>
      <protection locked="0"/>
    </xf>
    <xf numFmtId="0" fontId="16" fillId="10" borderId="48" xfId="0" applyNumberFormat="1" applyFont="1" applyFill="1" applyBorder="1" applyAlignment="1" applyProtection="1">
      <alignment horizontal="center"/>
      <protection locked="0"/>
    </xf>
    <xf numFmtId="0" fontId="16" fillId="10" borderId="1" xfId="0" applyNumberFormat="1" applyFont="1" applyFill="1" applyBorder="1" applyAlignment="1" applyProtection="1">
      <alignment horizontal="center"/>
      <protection locked="0"/>
    </xf>
    <xf numFmtId="0" fontId="16" fillId="10" borderId="6" xfId="0" applyNumberFormat="1" applyFont="1" applyFill="1" applyBorder="1" applyAlignment="1" applyProtection="1">
      <alignment horizontal="center"/>
      <protection locked="0"/>
    </xf>
    <xf numFmtId="0" fontId="15" fillId="10" borderId="0" xfId="0" applyFont="1" applyFill="1" applyBorder="1" applyProtection="1">
      <protection locked="0"/>
    </xf>
    <xf numFmtId="1" fontId="15" fillId="10" borderId="36" xfId="0" applyNumberFormat="1" applyFont="1" applyFill="1" applyBorder="1" applyAlignment="1">
      <alignment horizontal="center"/>
    </xf>
    <xf numFmtId="166" fontId="15" fillId="10" borderId="40" xfId="0" applyNumberFormat="1" applyFont="1" applyFill="1" applyBorder="1" applyAlignment="1">
      <alignment horizontal="center"/>
    </xf>
    <xf numFmtId="0" fontId="15" fillId="10" borderId="31" xfId="0" applyNumberFormat="1" applyFont="1" applyFill="1" applyBorder="1" applyAlignment="1">
      <alignment horizontal="center"/>
    </xf>
    <xf numFmtId="166" fontId="15" fillId="10" borderId="13" xfId="0" applyNumberFormat="1" applyFont="1" applyFill="1" applyBorder="1" applyAlignment="1">
      <alignment horizontal="center"/>
    </xf>
    <xf numFmtId="0" fontId="28" fillId="10" borderId="34" xfId="0" applyNumberFormat="1" applyFont="1" applyFill="1" applyBorder="1" applyAlignment="1" applyProtection="1">
      <alignment horizontal="center" vertical="center"/>
      <protection locked="0"/>
    </xf>
    <xf numFmtId="0" fontId="16" fillId="10" borderId="49" xfId="0" applyNumberFormat="1" applyFont="1" applyFill="1" applyBorder="1" applyAlignment="1" applyProtection="1">
      <alignment horizontal="center" vertical="center"/>
      <protection locked="0"/>
    </xf>
    <xf numFmtId="0" fontId="16" fillId="10" borderId="50" xfId="0" applyNumberFormat="1" applyFont="1" applyFill="1" applyBorder="1" applyAlignment="1" applyProtection="1">
      <alignment horizontal="center" vertical="center"/>
      <protection locked="0"/>
    </xf>
    <xf numFmtId="4" fontId="15" fillId="10" borderId="35" xfId="0" applyNumberFormat="1" applyFont="1" applyFill="1" applyBorder="1" applyAlignment="1" applyProtection="1">
      <alignment horizontal="center"/>
      <protection locked="0"/>
    </xf>
    <xf numFmtId="0" fontId="15" fillId="10" borderId="13" xfId="0" applyNumberFormat="1" applyFont="1" applyFill="1" applyBorder="1" applyAlignment="1">
      <alignment horizontal="center"/>
    </xf>
    <xf numFmtId="0" fontId="16" fillId="10" borderId="0" xfId="0" applyFont="1" applyFill="1" applyBorder="1" applyAlignment="1">
      <alignment horizontal="left"/>
    </xf>
    <xf numFmtId="0" fontId="17" fillId="10" borderId="0" xfId="0" applyFont="1" applyFill="1" applyBorder="1" applyAlignment="1">
      <alignment horizontal="left"/>
    </xf>
    <xf numFmtId="0" fontId="17" fillId="10" borderId="0" xfId="0" applyFont="1" applyFill="1" applyBorder="1" applyProtection="1">
      <protection locked="0"/>
    </xf>
    <xf numFmtId="0" fontId="15" fillId="10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D499"/>
  <sheetViews>
    <sheetView topLeftCell="A430" workbookViewId="0">
      <selection activeCell="B11" sqref="B11"/>
    </sheetView>
  </sheetViews>
  <sheetFormatPr baseColWidth="10" defaultColWidth="11.42578125" defaultRowHeight="14.25" x14ac:dyDescent="0.2"/>
  <cols>
    <col min="1" max="1" width="6.7109375" style="81" customWidth="1"/>
    <col min="2" max="2" width="42.140625" style="81" customWidth="1"/>
    <col min="3" max="3" width="15.42578125" style="81" customWidth="1"/>
    <col min="4" max="4" width="24.7109375" style="123" bestFit="1" customWidth="1"/>
    <col min="5" max="16384" width="11.42578125" style="81"/>
  </cols>
  <sheetData>
    <row r="2" spans="1:4" ht="12.75" customHeight="1" x14ac:dyDescent="0.2">
      <c r="A2" s="202"/>
      <c r="B2" s="202"/>
      <c r="C2" s="199"/>
      <c r="D2" s="81"/>
    </row>
    <row r="3" spans="1:4" ht="12.75" customHeight="1" x14ac:dyDescent="0.2">
      <c r="A3" s="202"/>
      <c r="B3" s="202"/>
      <c r="C3" s="200"/>
      <c r="D3" s="81"/>
    </row>
    <row r="4" spans="1:4" ht="12.75" customHeight="1" x14ac:dyDescent="0.2">
      <c r="A4" s="202"/>
      <c r="B4" s="202"/>
      <c r="C4" s="200"/>
      <c r="D4" s="81"/>
    </row>
    <row r="5" spans="1:4" ht="12.75" customHeight="1" x14ac:dyDescent="0.2">
      <c r="A5" s="202"/>
      <c r="B5" s="202"/>
      <c r="C5" s="200"/>
      <c r="D5" s="81"/>
    </row>
    <row r="6" spans="1:4" ht="12.75" customHeight="1" thickBot="1" x14ac:dyDescent="0.25">
      <c r="A6" s="202"/>
      <c r="B6" s="202"/>
      <c r="C6" s="201"/>
      <c r="D6" s="81"/>
    </row>
    <row r="7" spans="1:4" ht="17.25" thickBot="1" x14ac:dyDescent="0.25">
      <c r="A7" s="82" t="s">
        <v>52</v>
      </c>
      <c r="B7" s="83" t="s">
        <v>994</v>
      </c>
      <c r="C7" s="83" t="s">
        <v>37</v>
      </c>
      <c r="D7" s="83" t="s">
        <v>995</v>
      </c>
    </row>
    <row r="8" spans="1:4" ht="17.25" thickBot="1" x14ac:dyDescent="0.35">
      <c r="A8" s="84">
        <v>1</v>
      </c>
      <c r="B8" s="85" t="s">
        <v>53</v>
      </c>
      <c r="C8" s="86"/>
      <c r="D8" s="87"/>
    </row>
    <row r="9" spans="1:4" ht="16.5" x14ac:dyDescent="0.3">
      <c r="A9" s="88" t="s">
        <v>54</v>
      </c>
      <c r="B9" s="89" t="s">
        <v>55</v>
      </c>
      <c r="C9" s="90" t="s">
        <v>56</v>
      </c>
      <c r="D9" s="91">
        <v>6.67</v>
      </c>
    </row>
    <row r="10" spans="1:4" ht="16.5" x14ac:dyDescent="0.3">
      <c r="A10" s="92" t="s">
        <v>57</v>
      </c>
      <c r="B10" s="93" t="s">
        <v>58</v>
      </c>
      <c r="C10" s="94" t="s">
        <v>56</v>
      </c>
      <c r="D10" s="95">
        <v>38</v>
      </c>
    </row>
    <row r="11" spans="1:4" ht="16.5" x14ac:dyDescent="0.3">
      <c r="A11" s="92" t="s">
        <v>59</v>
      </c>
      <c r="B11" s="93" t="s">
        <v>60</v>
      </c>
      <c r="C11" s="94" t="s">
        <v>56</v>
      </c>
      <c r="D11" s="95">
        <v>40</v>
      </c>
    </row>
    <row r="12" spans="1:4" ht="16.5" x14ac:dyDescent="0.3">
      <c r="A12" s="92" t="s">
        <v>61</v>
      </c>
      <c r="B12" s="93" t="s">
        <v>62</v>
      </c>
      <c r="C12" s="94" t="s">
        <v>56</v>
      </c>
      <c r="D12" s="95"/>
    </row>
    <row r="13" spans="1:4" ht="16.5" x14ac:dyDescent="0.3">
      <c r="A13" s="92" t="s">
        <v>63</v>
      </c>
      <c r="B13" s="93" t="s">
        <v>64</v>
      </c>
      <c r="C13" s="94" t="s">
        <v>65</v>
      </c>
      <c r="D13" s="95">
        <v>6.75</v>
      </c>
    </row>
    <row r="14" spans="1:4" ht="16.5" x14ac:dyDescent="0.3">
      <c r="A14" s="92" t="s">
        <v>66</v>
      </c>
      <c r="B14" s="93" t="s">
        <v>67</v>
      </c>
      <c r="C14" s="94" t="s">
        <v>37</v>
      </c>
      <c r="D14" s="95">
        <v>34</v>
      </c>
    </row>
    <row r="15" spans="1:4" ht="16.5" x14ac:dyDescent="0.3">
      <c r="A15" s="92" t="s">
        <v>68</v>
      </c>
      <c r="B15" s="93" t="s">
        <v>69</v>
      </c>
      <c r="C15" s="94" t="s">
        <v>65</v>
      </c>
      <c r="D15" s="95">
        <v>7.6</v>
      </c>
    </row>
    <row r="16" spans="1:4" ht="16.5" x14ac:dyDescent="0.3">
      <c r="A16" s="92" t="s">
        <v>70</v>
      </c>
      <c r="B16" s="93" t="s">
        <v>71</v>
      </c>
      <c r="C16" s="94" t="s">
        <v>65</v>
      </c>
      <c r="D16" s="95">
        <v>7.6</v>
      </c>
    </row>
    <row r="17" spans="1:4" ht="16.5" x14ac:dyDescent="0.3">
      <c r="A17" s="92" t="s">
        <v>72</v>
      </c>
      <c r="B17" s="96" t="s">
        <v>73</v>
      </c>
      <c r="C17" s="97" t="s">
        <v>37</v>
      </c>
      <c r="D17" s="98">
        <v>23</v>
      </c>
    </row>
    <row r="18" spans="1:4" ht="16.5" x14ac:dyDescent="0.3">
      <c r="A18" s="92" t="s">
        <v>74</v>
      </c>
      <c r="B18" s="93" t="s">
        <v>75</v>
      </c>
      <c r="C18" s="94" t="s">
        <v>65</v>
      </c>
      <c r="D18" s="95"/>
    </row>
    <row r="19" spans="1:4" ht="16.5" x14ac:dyDescent="0.3">
      <c r="A19" s="92" t="s">
        <v>76</v>
      </c>
      <c r="B19" s="96" t="s">
        <v>77</v>
      </c>
      <c r="C19" s="97" t="s">
        <v>37</v>
      </c>
      <c r="D19" s="95">
        <v>6</v>
      </c>
    </row>
    <row r="20" spans="1:4" ht="16.5" x14ac:dyDescent="0.3">
      <c r="A20" s="92" t="s">
        <v>78</v>
      </c>
      <c r="B20" s="93" t="s">
        <v>79</v>
      </c>
      <c r="C20" s="94" t="s">
        <v>34</v>
      </c>
      <c r="D20" s="95">
        <v>34</v>
      </c>
    </row>
    <row r="21" spans="1:4" ht="16.5" x14ac:dyDescent="0.3">
      <c r="A21" s="92" t="s">
        <v>80</v>
      </c>
      <c r="B21" s="93" t="s">
        <v>81</v>
      </c>
      <c r="C21" s="94" t="s">
        <v>37</v>
      </c>
      <c r="D21" s="95">
        <v>3</v>
      </c>
    </row>
    <row r="22" spans="1:4" ht="16.5" x14ac:dyDescent="0.3">
      <c r="A22" s="92" t="s">
        <v>82</v>
      </c>
      <c r="B22" s="93" t="s">
        <v>83</v>
      </c>
      <c r="C22" s="94" t="s">
        <v>37</v>
      </c>
      <c r="D22" s="95">
        <v>7</v>
      </c>
    </row>
    <row r="23" spans="1:4" ht="16.5" x14ac:dyDescent="0.3">
      <c r="A23" s="92" t="s">
        <v>84</v>
      </c>
      <c r="B23" s="93" t="s">
        <v>85</v>
      </c>
      <c r="C23" s="94" t="s">
        <v>65</v>
      </c>
      <c r="D23" s="95">
        <v>21</v>
      </c>
    </row>
    <row r="24" spans="1:4" ht="16.5" x14ac:dyDescent="0.3">
      <c r="A24" s="92" t="s">
        <v>86</v>
      </c>
      <c r="B24" s="93" t="s">
        <v>87</v>
      </c>
      <c r="C24" s="94" t="s">
        <v>37</v>
      </c>
      <c r="D24" s="95">
        <v>2.8</v>
      </c>
    </row>
    <row r="25" spans="1:4" ht="16.5" x14ac:dyDescent="0.3">
      <c r="A25" s="92" t="s">
        <v>88</v>
      </c>
      <c r="B25" s="93" t="s">
        <v>89</v>
      </c>
      <c r="C25" s="94" t="s">
        <v>37</v>
      </c>
      <c r="D25" s="95">
        <v>8.75</v>
      </c>
    </row>
    <row r="26" spans="1:4" ht="16.5" x14ac:dyDescent="0.3">
      <c r="A26" s="92" t="s">
        <v>90</v>
      </c>
      <c r="B26" s="93" t="s">
        <v>91</v>
      </c>
      <c r="C26" s="94" t="s">
        <v>37</v>
      </c>
      <c r="D26" s="95">
        <v>6</v>
      </c>
    </row>
    <row r="27" spans="1:4" ht="16.5" x14ac:dyDescent="0.3">
      <c r="A27" s="92" t="s">
        <v>92</v>
      </c>
      <c r="B27" s="93" t="s">
        <v>93</v>
      </c>
      <c r="C27" s="94" t="s">
        <v>34</v>
      </c>
      <c r="D27" s="95">
        <v>30</v>
      </c>
    </row>
    <row r="28" spans="1:4" ht="16.5" x14ac:dyDescent="0.3">
      <c r="A28" s="92" t="s">
        <v>94</v>
      </c>
      <c r="B28" s="93" t="s">
        <v>95</v>
      </c>
      <c r="C28" s="94" t="s">
        <v>56</v>
      </c>
      <c r="D28" s="95">
        <v>28</v>
      </c>
    </row>
    <row r="29" spans="1:4" ht="16.5" x14ac:dyDescent="0.3">
      <c r="A29" s="92" t="s">
        <v>96</v>
      </c>
      <c r="B29" s="93" t="s">
        <v>97</v>
      </c>
      <c r="C29" s="94" t="s">
        <v>56</v>
      </c>
      <c r="D29" s="95">
        <v>28</v>
      </c>
    </row>
    <row r="30" spans="1:4" ht="16.5" x14ac:dyDescent="0.3">
      <c r="A30" s="92" t="s">
        <v>98</v>
      </c>
      <c r="B30" s="93" t="s">
        <v>99</v>
      </c>
      <c r="C30" s="94" t="s">
        <v>37</v>
      </c>
      <c r="D30" s="95">
        <v>8</v>
      </c>
    </row>
    <row r="31" spans="1:4" ht="16.5" x14ac:dyDescent="0.3">
      <c r="A31" s="92" t="s">
        <v>100</v>
      </c>
      <c r="B31" s="93" t="s">
        <v>101</v>
      </c>
      <c r="C31" s="94" t="s">
        <v>37</v>
      </c>
      <c r="D31" s="99">
        <v>28</v>
      </c>
    </row>
    <row r="32" spans="1:4" ht="16.5" x14ac:dyDescent="0.3">
      <c r="A32" s="92" t="s">
        <v>102</v>
      </c>
      <c r="B32" s="93" t="s">
        <v>103</v>
      </c>
      <c r="C32" s="94" t="s">
        <v>37</v>
      </c>
      <c r="D32" s="99">
        <v>18</v>
      </c>
    </row>
    <row r="33" spans="1:4" ht="16.5" x14ac:dyDescent="0.3">
      <c r="A33" s="92" t="s">
        <v>104</v>
      </c>
      <c r="B33" s="93" t="s">
        <v>105</v>
      </c>
      <c r="C33" s="94" t="s">
        <v>37</v>
      </c>
      <c r="D33" s="95">
        <v>7</v>
      </c>
    </row>
    <row r="34" spans="1:4" ht="16.5" x14ac:dyDescent="0.3">
      <c r="A34" s="92" t="s">
        <v>106</v>
      </c>
      <c r="B34" s="93" t="s">
        <v>107</v>
      </c>
      <c r="C34" s="94" t="s">
        <v>37</v>
      </c>
      <c r="D34" s="95"/>
    </row>
    <row r="35" spans="1:4" ht="16.5" x14ac:dyDescent="0.3">
      <c r="A35" s="92" t="s">
        <v>108</v>
      </c>
      <c r="B35" s="93" t="s">
        <v>109</v>
      </c>
      <c r="C35" s="94" t="s">
        <v>37</v>
      </c>
      <c r="D35" s="95">
        <v>3.58</v>
      </c>
    </row>
    <row r="36" spans="1:4" ht="16.5" x14ac:dyDescent="0.3">
      <c r="A36" s="92" t="s">
        <v>110</v>
      </c>
      <c r="B36" s="93" t="s">
        <v>111</v>
      </c>
      <c r="C36" s="94" t="s">
        <v>37</v>
      </c>
      <c r="D36" s="95">
        <v>7.94</v>
      </c>
    </row>
    <row r="37" spans="1:4" ht="16.5" x14ac:dyDescent="0.3">
      <c r="A37" s="92" t="s">
        <v>112</v>
      </c>
      <c r="B37" s="93" t="s">
        <v>113</v>
      </c>
      <c r="C37" s="94" t="s">
        <v>37</v>
      </c>
      <c r="D37" s="95"/>
    </row>
    <row r="38" spans="1:4" ht="16.5" x14ac:dyDescent="0.3">
      <c r="A38" s="92" t="s">
        <v>114</v>
      </c>
      <c r="B38" s="93" t="s">
        <v>115</v>
      </c>
      <c r="C38" s="94" t="s">
        <v>37</v>
      </c>
      <c r="D38" s="95">
        <v>5</v>
      </c>
    </row>
    <row r="39" spans="1:4" ht="16.5" x14ac:dyDescent="0.3">
      <c r="A39" s="92" t="s">
        <v>116</v>
      </c>
      <c r="B39" s="93" t="s">
        <v>117</v>
      </c>
      <c r="C39" s="94" t="s">
        <v>56</v>
      </c>
      <c r="D39" s="95">
        <v>18</v>
      </c>
    </row>
    <row r="40" spans="1:4" ht="16.5" x14ac:dyDescent="0.3">
      <c r="A40" s="92" t="s">
        <v>118</v>
      </c>
      <c r="B40" s="93" t="s">
        <v>119</v>
      </c>
      <c r="C40" s="94" t="s">
        <v>56</v>
      </c>
      <c r="D40" s="95">
        <v>8</v>
      </c>
    </row>
    <row r="41" spans="1:4" ht="16.5" x14ac:dyDescent="0.3">
      <c r="A41" s="92" t="s">
        <v>120</v>
      </c>
      <c r="B41" s="93" t="s">
        <v>121</v>
      </c>
      <c r="C41" s="94" t="s">
        <v>56</v>
      </c>
      <c r="D41" s="99">
        <v>17</v>
      </c>
    </row>
    <row r="42" spans="1:4" ht="16.5" x14ac:dyDescent="0.3">
      <c r="A42" s="92" t="s">
        <v>122</v>
      </c>
      <c r="B42" s="93" t="s">
        <v>123</v>
      </c>
      <c r="C42" s="94" t="s">
        <v>37</v>
      </c>
      <c r="D42" s="95"/>
    </row>
    <row r="43" spans="1:4" ht="16.5" x14ac:dyDescent="0.3">
      <c r="A43" s="92" t="s">
        <v>124</v>
      </c>
      <c r="B43" s="100" t="s">
        <v>125</v>
      </c>
      <c r="C43" s="94" t="s">
        <v>37</v>
      </c>
      <c r="D43" s="95"/>
    </row>
    <row r="44" spans="1:4" ht="16.5" x14ac:dyDescent="0.3">
      <c r="A44" s="92" t="s">
        <v>126</v>
      </c>
      <c r="B44" s="100" t="s">
        <v>127</v>
      </c>
      <c r="C44" s="94" t="s">
        <v>37</v>
      </c>
      <c r="D44" s="95">
        <v>21</v>
      </c>
    </row>
    <row r="45" spans="1:4" ht="16.5" x14ac:dyDescent="0.3">
      <c r="A45" s="92" t="s">
        <v>128</v>
      </c>
      <c r="B45" s="100" t="s">
        <v>129</v>
      </c>
      <c r="C45" s="94" t="s">
        <v>37</v>
      </c>
      <c r="D45" s="95">
        <v>9</v>
      </c>
    </row>
    <row r="46" spans="1:4" ht="17.25" thickBot="1" x14ac:dyDescent="0.35">
      <c r="A46" s="195" t="s">
        <v>130</v>
      </c>
      <c r="B46" s="196"/>
      <c r="C46" s="94"/>
      <c r="D46" s="101"/>
    </row>
    <row r="47" spans="1:4" ht="17.25" thickBot="1" x14ac:dyDescent="0.35">
      <c r="A47" s="84">
        <v>2</v>
      </c>
      <c r="B47" s="85" t="s">
        <v>131</v>
      </c>
      <c r="C47" s="102"/>
      <c r="D47" s="103"/>
    </row>
    <row r="48" spans="1:4" ht="16.5" x14ac:dyDescent="0.3">
      <c r="A48" s="104" t="s">
        <v>132</v>
      </c>
      <c r="B48" s="89" t="s">
        <v>133</v>
      </c>
      <c r="C48" s="90" t="s">
        <v>65</v>
      </c>
      <c r="D48" s="95">
        <v>8.3000000000000007</v>
      </c>
    </row>
    <row r="49" spans="1:4" ht="16.5" x14ac:dyDescent="0.3">
      <c r="A49" s="105" t="s">
        <v>134</v>
      </c>
      <c r="B49" s="96" t="s">
        <v>135</v>
      </c>
      <c r="C49" s="97" t="s">
        <v>34</v>
      </c>
      <c r="D49" s="95">
        <v>145</v>
      </c>
    </row>
    <row r="50" spans="1:4" ht="16.5" x14ac:dyDescent="0.3">
      <c r="A50" s="105" t="s">
        <v>136</v>
      </c>
      <c r="B50" s="93" t="s">
        <v>137</v>
      </c>
      <c r="C50" s="94" t="s">
        <v>34</v>
      </c>
      <c r="D50" s="95">
        <v>45</v>
      </c>
    </row>
    <row r="51" spans="1:4" ht="16.5" x14ac:dyDescent="0.3">
      <c r="A51" s="105" t="s">
        <v>138</v>
      </c>
      <c r="B51" s="93" t="s">
        <v>139</v>
      </c>
      <c r="C51" s="94" t="s">
        <v>34</v>
      </c>
      <c r="D51" s="95">
        <v>56</v>
      </c>
    </row>
    <row r="52" spans="1:4" ht="16.5" x14ac:dyDescent="0.3">
      <c r="A52" s="105" t="s">
        <v>140</v>
      </c>
      <c r="B52" s="93" t="s">
        <v>141</v>
      </c>
      <c r="C52" s="94" t="s">
        <v>36</v>
      </c>
      <c r="D52" s="95">
        <v>25</v>
      </c>
    </row>
    <row r="53" spans="1:4" ht="16.5" x14ac:dyDescent="0.3">
      <c r="A53" s="105" t="s">
        <v>142</v>
      </c>
      <c r="B53" s="93" t="s">
        <v>143</v>
      </c>
      <c r="C53" s="94" t="s">
        <v>36</v>
      </c>
      <c r="D53" s="95">
        <v>6.9</v>
      </c>
    </row>
    <row r="54" spans="1:4" ht="16.5" x14ac:dyDescent="0.3">
      <c r="A54" s="105" t="s">
        <v>144</v>
      </c>
      <c r="B54" s="96" t="s">
        <v>145</v>
      </c>
      <c r="C54" s="97" t="s">
        <v>37</v>
      </c>
      <c r="D54" s="99">
        <v>14</v>
      </c>
    </row>
    <row r="55" spans="1:4" ht="16.5" x14ac:dyDescent="0.3">
      <c r="A55" s="105" t="s">
        <v>146</v>
      </c>
      <c r="B55" s="93" t="s">
        <v>147</v>
      </c>
      <c r="C55" s="94" t="s">
        <v>34</v>
      </c>
      <c r="D55" s="95">
        <v>32</v>
      </c>
    </row>
    <row r="56" spans="1:4" ht="16.5" x14ac:dyDescent="0.3">
      <c r="A56" s="105" t="s">
        <v>148</v>
      </c>
      <c r="B56" s="93" t="s">
        <v>149</v>
      </c>
      <c r="C56" s="94" t="s">
        <v>34</v>
      </c>
      <c r="D56" s="95">
        <v>32</v>
      </c>
    </row>
    <row r="57" spans="1:4" ht="16.5" x14ac:dyDescent="0.3">
      <c r="A57" s="105" t="s">
        <v>150</v>
      </c>
      <c r="B57" s="93" t="s">
        <v>151</v>
      </c>
      <c r="C57" s="94" t="s">
        <v>37</v>
      </c>
      <c r="D57" s="95">
        <v>6.25</v>
      </c>
    </row>
    <row r="58" spans="1:4" ht="16.5" x14ac:dyDescent="0.3">
      <c r="A58" s="105" t="s">
        <v>152</v>
      </c>
      <c r="B58" s="93" t="s">
        <v>153</v>
      </c>
      <c r="C58" s="94" t="s">
        <v>37</v>
      </c>
      <c r="D58" s="95">
        <v>29</v>
      </c>
    </row>
    <row r="59" spans="1:4" ht="16.5" x14ac:dyDescent="0.3">
      <c r="A59" s="105" t="s">
        <v>154</v>
      </c>
      <c r="B59" s="93" t="s">
        <v>155</v>
      </c>
      <c r="C59" s="94" t="s">
        <v>37</v>
      </c>
      <c r="D59" s="95">
        <v>29</v>
      </c>
    </row>
    <row r="60" spans="1:4" ht="16.5" x14ac:dyDescent="0.3">
      <c r="A60" s="105" t="s">
        <v>156</v>
      </c>
      <c r="B60" s="93" t="s">
        <v>157</v>
      </c>
      <c r="C60" s="94" t="s">
        <v>37</v>
      </c>
      <c r="D60" s="95">
        <v>10</v>
      </c>
    </row>
    <row r="61" spans="1:4" ht="16.5" x14ac:dyDescent="0.3">
      <c r="A61" s="105" t="s">
        <v>158</v>
      </c>
      <c r="B61" s="93" t="s">
        <v>159</v>
      </c>
      <c r="C61" s="94" t="s">
        <v>37</v>
      </c>
      <c r="D61" s="95">
        <v>6</v>
      </c>
    </row>
    <row r="62" spans="1:4" ht="16.5" x14ac:dyDescent="0.3">
      <c r="A62" s="105" t="s">
        <v>160</v>
      </c>
      <c r="B62" s="93" t="s">
        <v>161</v>
      </c>
      <c r="C62" s="94" t="s">
        <v>34</v>
      </c>
      <c r="D62" s="95">
        <v>34</v>
      </c>
    </row>
    <row r="63" spans="1:4" ht="16.5" x14ac:dyDescent="0.3">
      <c r="A63" s="105" t="s">
        <v>162</v>
      </c>
      <c r="B63" s="93" t="s">
        <v>163</v>
      </c>
      <c r="C63" s="94" t="s">
        <v>37</v>
      </c>
      <c r="D63" s="95">
        <v>6.85</v>
      </c>
    </row>
    <row r="64" spans="1:4" ht="16.5" x14ac:dyDescent="0.3">
      <c r="A64" s="105" t="s">
        <v>164</v>
      </c>
      <c r="B64" s="93" t="s">
        <v>165</v>
      </c>
      <c r="C64" s="94" t="s">
        <v>34</v>
      </c>
      <c r="D64" s="95">
        <v>30</v>
      </c>
    </row>
    <row r="65" spans="1:4" ht="16.5" x14ac:dyDescent="0.3">
      <c r="A65" s="105" t="s">
        <v>166</v>
      </c>
      <c r="B65" s="93" t="s">
        <v>167</v>
      </c>
      <c r="C65" s="94" t="s">
        <v>37</v>
      </c>
      <c r="D65" s="95">
        <v>19</v>
      </c>
    </row>
    <row r="66" spans="1:4" ht="16.5" x14ac:dyDescent="0.3">
      <c r="A66" s="105" t="s">
        <v>168</v>
      </c>
      <c r="B66" s="93" t="s">
        <v>169</v>
      </c>
      <c r="C66" s="94" t="s">
        <v>34</v>
      </c>
      <c r="D66" s="95">
        <v>11.5</v>
      </c>
    </row>
    <row r="67" spans="1:4" ht="16.5" x14ac:dyDescent="0.3">
      <c r="A67" s="105" t="s">
        <v>170</v>
      </c>
      <c r="B67" s="93" t="s">
        <v>171</v>
      </c>
      <c r="C67" s="94" t="s">
        <v>34</v>
      </c>
      <c r="D67" s="95">
        <v>16</v>
      </c>
    </row>
    <row r="68" spans="1:4" ht="16.5" x14ac:dyDescent="0.3">
      <c r="A68" s="105" t="s">
        <v>172</v>
      </c>
      <c r="B68" s="93" t="s">
        <v>173</v>
      </c>
      <c r="C68" s="94" t="s">
        <v>37</v>
      </c>
      <c r="D68" s="95">
        <v>2.96</v>
      </c>
    </row>
    <row r="69" spans="1:4" ht="16.5" x14ac:dyDescent="0.3">
      <c r="A69" s="105" t="s">
        <v>174</v>
      </c>
      <c r="B69" s="93" t="s">
        <v>175</v>
      </c>
      <c r="C69" s="94" t="s">
        <v>37</v>
      </c>
      <c r="D69" s="95">
        <v>14</v>
      </c>
    </row>
    <row r="70" spans="1:4" ht="16.5" x14ac:dyDescent="0.3">
      <c r="A70" s="105" t="s">
        <v>176</v>
      </c>
      <c r="B70" s="93" t="s">
        <v>177</v>
      </c>
      <c r="C70" s="94" t="s">
        <v>37</v>
      </c>
      <c r="D70" s="95">
        <v>2.9</v>
      </c>
    </row>
    <row r="71" spans="1:4" ht="16.5" x14ac:dyDescent="0.3">
      <c r="A71" s="105" t="s">
        <v>178</v>
      </c>
      <c r="B71" s="93" t="s">
        <v>179</v>
      </c>
      <c r="C71" s="94" t="s">
        <v>34</v>
      </c>
      <c r="D71" s="95">
        <v>21</v>
      </c>
    </row>
    <row r="72" spans="1:4" ht="17.25" thickBot="1" x14ac:dyDescent="0.35">
      <c r="A72" s="195" t="s">
        <v>180</v>
      </c>
      <c r="B72" s="196"/>
      <c r="C72" s="94"/>
      <c r="D72" s="101"/>
    </row>
    <row r="73" spans="1:4" ht="17.25" thickBot="1" x14ac:dyDescent="0.35">
      <c r="A73" s="84">
        <v>3</v>
      </c>
      <c r="B73" s="85" t="s">
        <v>181</v>
      </c>
      <c r="C73" s="102"/>
      <c r="D73" s="106"/>
    </row>
    <row r="74" spans="1:4" ht="16.5" x14ac:dyDescent="0.3">
      <c r="A74" s="105" t="s">
        <v>182</v>
      </c>
      <c r="B74" s="93" t="s">
        <v>183</v>
      </c>
      <c r="C74" s="94" t="s">
        <v>56</v>
      </c>
      <c r="D74" s="95"/>
    </row>
    <row r="75" spans="1:4" ht="16.5" x14ac:dyDescent="0.3">
      <c r="A75" s="105" t="s">
        <v>184</v>
      </c>
      <c r="B75" s="93" t="s">
        <v>185</v>
      </c>
      <c r="C75" s="94" t="s">
        <v>37</v>
      </c>
      <c r="D75" s="95">
        <v>9.3000000000000007</v>
      </c>
    </row>
    <row r="76" spans="1:4" ht="16.5" x14ac:dyDescent="0.3">
      <c r="A76" s="105" t="s">
        <v>186</v>
      </c>
      <c r="B76" s="93" t="s">
        <v>187</v>
      </c>
      <c r="C76" s="94" t="s">
        <v>37</v>
      </c>
      <c r="D76" s="95">
        <v>8.5</v>
      </c>
    </row>
    <row r="77" spans="1:4" ht="16.5" x14ac:dyDescent="0.3">
      <c r="A77" s="105" t="s">
        <v>188</v>
      </c>
      <c r="B77" s="93" t="s">
        <v>189</v>
      </c>
      <c r="C77" s="94" t="s">
        <v>37</v>
      </c>
      <c r="D77" s="95">
        <v>5.33</v>
      </c>
    </row>
    <row r="78" spans="1:4" ht="16.5" x14ac:dyDescent="0.3">
      <c r="A78" s="105" t="s">
        <v>190</v>
      </c>
      <c r="B78" s="93" t="s">
        <v>191</v>
      </c>
      <c r="C78" s="94" t="s">
        <v>56</v>
      </c>
      <c r="D78" s="95"/>
    </row>
    <row r="79" spans="1:4" ht="16.5" x14ac:dyDescent="0.3">
      <c r="A79" s="105" t="s">
        <v>192</v>
      </c>
      <c r="B79" s="93" t="s">
        <v>193</v>
      </c>
      <c r="C79" s="94" t="s">
        <v>56</v>
      </c>
      <c r="D79" s="95"/>
    </row>
    <row r="80" spans="1:4" ht="16.5" x14ac:dyDescent="0.3">
      <c r="A80" s="105" t="s">
        <v>194</v>
      </c>
      <c r="B80" s="93" t="s">
        <v>195</v>
      </c>
      <c r="C80" s="94" t="s">
        <v>56</v>
      </c>
      <c r="D80" s="95"/>
    </row>
    <row r="81" spans="1:4" ht="16.5" x14ac:dyDescent="0.3">
      <c r="A81" s="105" t="s">
        <v>196</v>
      </c>
      <c r="B81" s="93" t="s">
        <v>197</v>
      </c>
      <c r="C81" s="94" t="s">
        <v>56</v>
      </c>
      <c r="D81" s="95"/>
    </row>
    <row r="82" spans="1:4" ht="16.5" x14ac:dyDescent="0.3">
      <c r="A82" s="105" t="s">
        <v>198</v>
      </c>
      <c r="B82" s="93" t="s">
        <v>199</v>
      </c>
      <c r="C82" s="94" t="s">
        <v>56</v>
      </c>
      <c r="D82" s="95"/>
    </row>
    <row r="83" spans="1:4" ht="16.5" x14ac:dyDescent="0.3">
      <c r="A83" s="105" t="s">
        <v>200</v>
      </c>
      <c r="B83" s="93" t="s">
        <v>201</v>
      </c>
      <c r="C83" s="94" t="s">
        <v>56</v>
      </c>
      <c r="D83" s="95">
        <v>15.8</v>
      </c>
    </row>
    <row r="84" spans="1:4" ht="16.5" x14ac:dyDescent="0.3">
      <c r="A84" s="105" t="s">
        <v>202</v>
      </c>
      <c r="B84" s="93" t="s">
        <v>203</v>
      </c>
      <c r="C84" s="94" t="s">
        <v>204</v>
      </c>
      <c r="D84" s="95">
        <v>18.329999999999998</v>
      </c>
    </row>
    <row r="85" spans="1:4" ht="16.5" x14ac:dyDescent="0.3">
      <c r="A85" s="105" t="s">
        <v>205</v>
      </c>
      <c r="B85" s="96" t="s">
        <v>206</v>
      </c>
      <c r="C85" s="97" t="s">
        <v>56</v>
      </c>
      <c r="D85" s="95">
        <v>4.8</v>
      </c>
    </row>
    <row r="86" spans="1:4" ht="16.5" x14ac:dyDescent="0.3">
      <c r="A86" s="105" t="s">
        <v>207</v>
      </c>
      <c r="B86" s="96" t="s">
        <v>208</v>
      </c>
      <c r="C86" s="97" t="s">
        <v>37</v>
      </c>
      <c r="D86" s="95">
        <v>5</v>
      </c>
    </row>
    <row r="87" spans="1:4" ht="16.5" x14ac:dyDescent="0.3">
      <c r="A87" s="105" t="s">
        <v>209</v>
      </c>
      <c r="B87" s="93" t="s">
        <v>210</v>
      </c>
      <c r="C87" s="94" t="s">
        <v>56</v>
      </c>
      <c r="D87" s="95">
        <v>4.9000000000000004</v>
      </c>
    </row>
    <row r="88" spans="1:4" ht="16.5" x14ac:dyDescent="0.3">
      <c r="A88" s="105" t="s">
        <v>211</v>
      </c>
      <c r="B88" s="93" t="s">
        <v>212</v>
      </c>
      <c r="C88" s="94" t="s">
        <v>65</v>
      </c>
      <c r="D88" s="95">
        <v>18</v>
      </c>
    </row>
    <row r="89" spans="1:4" ht="16.5" x14ac:dyDescent="0.3">
      <c r="A89" s="105" t="s">
        <v>213</v>
      </c>
      <c r="B89" s="93" t="s">
        <v>214</v>
      </c>
      <c r="C89" s="94" t="s">
        <v>37</v>
      </c>
      <c r="D89" s="95">
        <v>5</v>
      </c>
    </row>
    <row r="90" spans="1:4" ht="16.5" x14ac:dyDescent="0.3">
      <c r="A90" s="105" t="s">
        <v>215</v>
      </c>
      <c r="B90" s="93" t="s">
        <v>216</v>
      </c>
      <c r="C90" s="94" t="s">
        <v>65</v>
      </c>
      <c r="D90" s="95">
        <v>18</v>
      </c>
    </row>
    <row r="91" spans="1:4" ht="16.5" x14ac:dyDescent="0.3">
      <c r="A91" s="105" t="s">
        <v>217</v>
      </c>
      <c r="B91" s="93" t="s">
        <v>218</v>
      </c>
      <c r="C91" s="94" t="s">
        <v>219</v>
      </c>
      <c r="D91" s="95">
        <v>130</v>
      </c>
    </row>
    <row r="92" spans="1:4" ht="16.5" x14ac:dyDescent="0.3">
      <c r="A92" s="105" t="s">
        <v>220</v>
      </c>
      <c r="B92" s="93" t="s">
        <v>221</v>
      </c>
      <c r="C92" s="94" t="s">
        <v>219</v>
      </c>
      <c r="D92" s="99">
        <v>158</v>
      </c>
    </row>
    <row r="93" spans="1:4" ht="16.5" x14ac:dyDescent="0.3">
      <c r="A93" s="105" t="s">
        <v>222</v>
      </c>
      <c r="B93" s="93" t="s">
        <v>223</v>
      </c>
      <c r="C93" s="94" t="s">
        <v>65</v>
      </c>
      <c r="D93" s="95">
        <v>26.67</v>
      </c>
    </row>
    <row r="94" spans="1:4" ht="16.5" x14ac:dyDescent="0.3">
      <c r="A94" s="105" t="s">
        <v>224</v>
      </c>
      <c r="B94" s="93" t="s">
        <v>225</v>
      </c>
      <c r="C94" s="94" t="s">
        <v>65</v>
      </c>
      <c r="D94" s="95"/>
    </row>
    <row r="95" spans="1:4" ht="16.5" x14ac:dyDescent="0.3">
      <c r="A95" s="105" t="s">
        <v>226</v>
      </c>
      <c r="B95" s="93" t="s">
        <v>227</v>
      </c>
      <c r="C95" s="94" t="s">
        <v>65</v>
      </c>
      <c r="D95" s="99">
        <v>24</v>
      </c>
    </row>
    <row r="96" spans="1:4" ht="16.5" x14ac:dyDescent="0.3">
      <c r="A96" s="105" t="s">
        <v>228</v>
      </c>
      <c r="B96" s="93" t="s">
        <v>229</v>
      </c>
      <c r="C96" s="94" t="s">
        <v>37</v>
      </c>
      <c r="D96" s="95" t="s">
        <v>230</v>
      </c>
    </row>
    <row r="97" spans="1:4" ht="16.5" x14ac:dyDescent="0.3">
      <c r="A97" s="105" t="s">
        <v>231</v>
      </c>
      <c r="B97" s="93" t="s">
        <v>232</v>
      </c>
      <c r="C97" s="94" t="s">
        <v>65</v>
      </c>
      <c r="D97" s="95">
        <v>28</v>
      </c>
    </row>
    <row r="98" spans="1:4" ht="16.5" x14ac:dyDescent="0.3">
      <c r="A98" s="105" t="s">
        <v>233</v>
      </c>
      <c r="B98" s="93" t="s">
        <v>234</v>
      </c>
      <c r="C98" s="94" t="s">
        <v>65</v>
      </c>
      <c r="D98" s="95">
        <v>36</v>
      </c>
    </row>
    <row r="99" spans="1:4" ht="16.5" x14ac:dyDescent="0.3">
      <c r="A99" s="105" t="s">
        <v>233</v>
      </c>
      <c r="B99" s="93" t="s">
        <v>235</v>
      </c>
      <c r="C99" s="94" t="s">
        <v>65</v>
      </c>
      <c r="D99" s="95">
        <v>30</v>
      </c>
    </row>
    <row r="100" spans="1:4" ht="16.5" x14ac:dyDescent="0.3">
      <c r="A100" s="105" t="s">
        <v>236</v>
      </c>
      <c r="B100" s="93" t="s">
        <v>237</v>
      </c>
      <c r="C100" s="94" t="s">
        <v>65</v>
      </c>
      <c r="D100" s="95">
        <v>70</v>
      </c>
    </row>
    <row r="101" spans="1:4" ht="16.5" x14ac:dyDescent="0.3">
      <c r="A101" s="105" t="s">
        <v>238</v>
      </c>
      <c r="B101" s="93" t="s">
        <v>239</v>
      </c>
      <c r="C101" s="94" t="s">
        <v>65</v>
      </c>
      <c r="D101" s="95">
        <v>26</v>
      </c>
    </row>
    <row r="102" spans="1:4" ht="16.5" x14ac:dyDescent="0.3">
      <c r="A102" s="105" t="s">
        <v>240</v>
      </c>
      <c r="B102" s="96" t="s">
        <v>241</v>
      </c>
      <c r="C102" s="97" t="s">
        <v>65</v>
      </c>
      <c r="D102" s="95">
        <v>55</v>
      </c>
    </row>
    <row r="103" spans="1:4" ht="16.5" x14ac:dyDescent="0.3">
      <c r="A103" s="105" t="s">
        <v>242</v>
      </c>
      <c r="B103" s="93" t="s">
        <v>243</v>
      </c>
      <c r="C103" s="94" t="s">
        <v>219</v>
      </c>
      <c r="D103" s="95">
        <v>124</v>
      </c>
    </row>
    <row r="104" spans="1:4" ht="16.5" x14ac:dyDescent="0.3">
      <c r="A104" s="105" t="s">
        <v>244</v>
      </c>
      <c r="B104" s="93" t="s">
        <v>245</v>
      </c>
      <c r="C104" s="94" t="s">
        <v>56</v>
      </c>
      <c r="D104" s="95">
        <v>5.7</v>
      </c>
    </row>
    <row r="105" spans="1:4" ht="16.5" x14ac:dyDescent="0.3">
      <c r="A105" s="105" t="s">
        <v>246</v>
      </c>
      <c r="B105" s="93" t="s">
        <v>247</v>
      </c>
      <c r="C105" s="94" t="s">
        <v>37</v>
      </c>
      <c r="D105" s="95">
        <v>5</v>
      </c>
    </row>
    <row r="106" spans="1:4" ht="17.25" thickBot="1" x14ac:dyDescent="0.35">
      <c r="A106" s="195" t="s">
        <v>248</v>
      </c>
      <c r="B106" s="196"/>
      <c r="C106" s="94"/>
      <c r="D106" s="101"/>
    </row>
    <row r="107" spans="1:4" ht="17.25" thickBot="1" x14ac:dyDescent="0.35">
      <c r="A107" s="84">
        <v>4</v>
      </c>
      <c r="B107" s="85" t="s">
        <v>249</v>
      </c>
      <c r="C107" s="102"/>
      <c r="D107" s="106"/>
    </row>
    <row r="108" spans="1:4" ht="16.5" x14ac:dyDescent="0.3">
      <c r="A108" s="105" t="s">
        <v>250</v>
      </c>
      <c r="B108" s="93" t="s">
        <v>251</v>
      </c>
      <c r="C108" s="94" t="s">
        <v>65</v>
      </c>
      <c r="D108" s="95">
        <v>20</v>
      </c>
    </row>
    <row r="109" spans="1:4" ht="16.5" x14ac:dyDescent="0.3">
      <c r="A109" s="105" t="s">
        <v>252</v>
      </c>
      <c r="B109" s="93" t="s">
        <v>253</v>
      </c>
      <c r="C109" s="94" t="s">
        <v>65</v>
      </c>
      <c r="D109" s="95">
        <v>5</v>
      </c>
    </row>
    <row r="110" spans="1:4" ht="16.5" x14ac:dyDescent="0.3">
      <c r="A110" s="105" t="s">
        <v>254</v>
      </c>
      <c r="B110" s="93" t="s">
        <v>255</v>
      </c>
      <c r="C110" s="94" t="s">
        <v>65</v>
      </c>
      <c r="D110" s="95">
        <v>13</v>
      </c>
    </row>
    <row r="111" spans="1:4" ht="16.5" x14ac:dyDescent="0.3">
      <c r="A111" s="105" t="s">
        <v>256</v>
      </c>
      <c r="B111" s="93" t="s">
        <v>257</v>
      </c>
      <c r="C111" s="94" t="s">
        <v>65</v>
      </c>
      <c r="D111" s="95">
        <v>13</v>
      </c>
    </row>
    <row r="112" spans="1:4" ht="16.5" x14ac:dyDescent="0.3">
      <c r="A112" s="105" t="s">
        <v>256</v>
      </c>
      <c r="B112" s="93" t="s">
        <v>258</v>
      </c>
      <c r="C112" s="94" t="s">
        <v>65</v>
      </c>
      <c r="D112" s="95">
        <v>5.5</v>
      </c>
    </row>
    <row r="113" spans="1:4" ht="16.5" x14ac:dyDescent="0.3">
      <c r="A113" s="105" t="s">
        <v>259</v>
      </c>
      <c r="B113" s="93" t="s">
        <v>260</v>
      </c>
      <c r="C113" s="94" t="s">
        <v>65</v>
      </c>
      <c r="D113" s="95">
        <v>5.88</v>
      </c>
    </row>
    <row r="114" spans="1:4" ht="16.5" x14ac:dyDescent="0.3">
      <c r="A114" s="105" t="s">
        <v>261</v>
      </c>
      <c r="B114" s="93" t="s">
        <v>262</v>
      </c>
      <c r="C114" s="94" t="s">
        <v>65</v>
      </c>
      <c r="D114" s="95">
        <v>12</v>
      </c>
    </row>
    <row r="115" spans="1:4" ht="16.5" x14ac:dyDescent="0.3">
      <c r="A115" s="105" t="s">
        <v>263</v>
      </c>
      <c r="B115" s="93" t="s">
        <v>264</v>
      </c>
      <c r="C115" s="94" t="s">
        <v>65</v>
      </c>
      <c r="D115" s="95">
        <v>13</v>
      </c>
    </row>
    <row r="116" spans="1:4" ht="16.5" x14ac:dyDescent="0.3">
      <c r="A116" s="105" t="s">
        <v>265</v>
      </c>
      <c r="B116" s="93" t="s">
        <v>266</v>
      </c>
      <c r="C116" s="94" t="s">
        <v>65</v>
      </c>
      <c r="D116" s="95">
        <v>12</v>
      </c>
    </row>
    <row r="117" spans="1:4" ht="16.5" x14ac:dyDescent="0.3">
      <c r="A117" s="105" t="s">
        <v>267</v>
      </c>
      <c r="B117" s="93" t="s">
        <v>268</v>
      </c>
      <c r="C117" s="94" t="s">
        <v>65</v>
      </c>
      <c r="D117" s="95">
        <v>12</v>
      </c>
    </row>
    <row r="118" spans="1:4" ht="17.25" thickBot="1" x14ac:dyDescent="0.35">
      <c r="A118" s="195" t="s">
        <v>269</v>
      </c>
      <c r="B118" s="196"/>
      <c r="C118" s="94"/>
      <c r="D118" s="101"/>
    </row>
    <row r="119" spans="1:4" ht="17.25" thickBot="1" x14ac:dyDescent="0.35">
      <c r="A119" s="84">
        <v>5</v>
      </c>
      <c r="B119" s="85" t="s">
        <v>270</v>
      </c>
      <c r="C119" s="102"/>
      <c r="D119" s="106"/>
    </row>
    <row r="120" spans="1:4" ht="16.5" x14ac:dyDescent="0.3">
      <c r="A120" s="105" t="s">
        <v>271</v>
      </c>
      <c r="B120" s="93" t="s">
        <v>272</v>
      </c>
      <c r="C120" s="94" t="s">
        <v>65</v>
      </c>
      <c r="D120" s="95">
        <v>23.4</v>
      </c>
    </row>
    <row r="121" spans="1:4" ht="16.5" x14ac:dyDescent="0.3">
      <c r="A121" s="105" t="s">
        <v>273</v>
      </c>
      <c r="B121" s="96" t="s">
        <v>274</v>
      </c>
      <c r="C121" s="97" t="s">
        <v>37</v>
      </c>
      <c r="D121" s="95">
        <v>7.5</v>
      </c>
    </row>
    <row r="122" spans="1:4" ht="16.5" x14ac:dyDescent="0.3">
      <c r="A122" s="105" t="s">
        <v>275</v>
      </c>
      <c r="B122" s="93" t="s">
        <v>276</v>
      </c>
      <c r="C122" s="94" t="s">
        <v>65</v>
      </c>
      <c r="D122" s="95">
        <v>3</v>
      </c>
    </row>
    <row r="123" spans="1:4" ht="16.5" x14ac:dyDescent="0.3">
      <c r="A123" s="105" t="s">
        <v>277</v>
      </c>
      <c r="B123" s="93" t="s">
        <v>278</v>
      </c>
      <c r="C123" s="94" t="s">
        <v>39</v>
      </c>
      <c r="D123" s="95">
        <v>22</v>
      </c>
    </row>
    <row r="124" spans="1:4" ht="16.5" x14ac:dyDescent="0.3">
      <c r="A124" s="105" t="s">
        <v>279</v>
      </c>
      <c r="B124" s="93" t="s">
        <v>280</v>
      </c>
      <c r="C124" s="94" t="s">
        <v>65</v>
      </c>
      <c r="D124" s="95"/>
    </row>
    <row r="125" spans="1:4" ht="16.5" x14ac:dyDescent="0.3">
      <c r="A125" s="105" t="s">
        <v>281</v>
      </c>
      <c r="B125" s="93" t="s">
        <v>282</v>
      </c>
      <c r="C125" s="94" t="s">
        <v>65</v>
      </c>
      <c r="D125" s="99">
        <v>20</v>
      </c>
    </row>
    <row r="126" spans="1:4" ht="16.5" x14ac:dyDescent="0.3">
      <c r="A126" s="105" t="s">
        <v>283</v>
      </c>
      <c r="B126" s="93" t="s">
        <v>284</v>
      </c>
      <c r="C126" s="94" t="s">
        <v>65</v>
      </c>
      <c r="D126" s="95">
        <v>28.78</v>
      </c>
    </row>
    <row r="127" spans="1:4" ht="16.5" x14ac:dyDescent="0.3">
      <c r="A127" s="105" t="s">
        <v>285</v>
      </c>
      <c r="B127" s="93" t="s">
        <v>286</v>
      </c>
      <c r="C127" s="94" t="s">
        <v>65</v>
      </c>
      <c r="D127" s="95">
        <v>23</v>
      </c>
    </row>
    <row r="128" spans="1:4" ht="16.5" x14ac:dyDescent="0.3">
      <c r="A128" s="105" t="s">
        <v>287</v>
      </c>
      <c r="B128" s="93" t="s">
        <v>288</v>
      </c>
      <c r="C128" s="94" t="s">
        <v>65</v>
      </c>
      <c r="D128" s="95">
        <v>17</v>
      </c>
    </row>
    <row r="129" spans="1:4" ht="16.5" x14ac:dyDescent="0.3">
      <c r="A129" s="105" t="s">
        <v>289</v>
      </c>
      <c r="B129" s="93" t="s">
        <v>290</v>
      </c>
      <c r="C129" s="94" t="s">
        <v>65</v>
      </c>
      <c r="D129" s="95">
        <v>15</v>
      </c>
    </row>
    <row r="130" spans="1:4" ht="16.5" x14ac:dyDescent="0.3">
      <c r="A130" s="105" t="s">
        <v>291</v>
      </c>
      <c r="B130" s="93" t="s">
        <v>292</v>
      </c>
      <c r="C130" s="94" t="s">
        <v>65</v>
      </c>
      <c r="D130" s="95">
        <v>32</v>
      </c>
    </row>
    <row r="131" spans="1:4" ht="16.5" x14ac:dyDescent="0.3">
      <c r="A131" s="105" t="s">
        <v>293</v>
      </c>
      <c r="B131" s="93" t="s">
        <v>294</v>
      </c>
      <c r="C131" s="94" t="s">
        <v>65</v>
      </c>
      <c r="D131" s="95">
        <v>24</v>
      </c>
    </row>
    <row r="132" spans="1:4" ht="16.5" x14ac:dyDescent="0.3">
      <c r="A132" s="105" t="s">
        <v>295</v>
      </c>
      <c r="B132" s="93" t="s">
        <v>296</v>
      </c>
      <c r="C132" s="94" t="s">
        <v>65</v>
      </c>
      <c r="D132" s="95">
        <v>30</v>
      </c>
    </row>
    <row r="133" spans="1:4" ht="16.5" x14ac:dyDescent="0.3">
      <c r="A133" s="105" t="s">
        <v>297</v>
      </c>
      <c r="B133" s="93" t="s">
        <v>298</v>
      </c>
      <c r="C133" s="94" t="s">
        <v>65</v>
      </c>
      <c r="D133" s="95"/>
    </row>
    <row r="134" spans="1:4" ht="16.5" x14ac:dyDescent="0.3">
      <c r="A134" s="105" t="s">
        <v>299</v>
      </c>
      <c r="B134" s="93" t="s">
        <v>300</v>
      </c>
      <c r="C134" s="94" t="s">
        <v>65</v>
      </c>
      <c r="D134" s="95"/>
    </row>
    <row r="135" spans="1:4" ht="16.5" x14ac:dyDescent="0.3">
      <c r="A135" s="105" t="s">
        <v>301</v>
      </c>
      <c r="B135" s="96" t="s">
        <v>302</v>
      </c>
      <c r="C135" s="97" t="s">
        <v>65</v>
      </c>
      <c r="D135" s="95">
        <v>21</v>
      </c>
    </row>
    <row r="136" spans="1:4" ht="16.5" x14ac:dyDescent="0.3">
      <c r="A136" s="105" t="s">
        <v>303</v>
      </c>
      <c r="B136" s="93" t="s">
        <v>304</v>
      </c>
      <c r="C136" s="94" t="s">
        <v>65</v>
      </c>
      <c r="D136" s="95"/>
    </row>
    <row r="137" spans="1:4" ht="16.5" x14ac:dyDescent="0.3">
      <c r="A137" s="105" t="s">
        <v>305</v>
      </c>
      <c r="B137" s="93" t="s">
        <v>306</v>
      </c>
      <c r="C137" s="94" t="s">
        <v>37</v>
      </c>
      <c r="D137" s="95">
        <v>38</v>
      </c>
    </row>
    <row r="138" spans="1:4" ht="16.5" x14ac:dyDescent="0.3">
      <c r="A138" s="105" t="s">
        <v>307</v>
      </c>
      <c r="B138" s="93" t="s">
        <v>308</v>
      </c>
      <c r="C138" s="94" t="s">
        <v>65</v>
      </c>
      <c r="D138" s="95">
        <v>27</v>
      </c>
    </row>
    <row r="139" spans="1:4" ht="16.5" x14ac:dyDescent="0.3">
      <c r="A139" s="105" t="s">
        <v>309</v>
      </c>
      <c r="B139" s="93" t="s">
        <v>310</v>
      </c>
      <c r="C139" s="94" t="s">
        <v>65</v>
      </c>
      <c r="D139" s="95">
        <v>50</v>
      </c>
    </row>
    <row r="140" spans="1:4" ht="16.5" x14ac:dyDescent="0.3">
      <c r="A140" s="105" t="s">
        <v>311</v>
      </c>
      <c r="B140" s="93" t="s">
        <v>312</v>
      </c>
      <c r="C140" s="94" t="s">
        <v>65</v>
      </c>
      <c r="D140" s="95">
        <v>13.5</v>
      </c>
    </row>
    <row r="141" spans="1:4" ht="16.5" x14ac:dyDescent="0.3">
      <c r="A141" s="105" t="s">
        <v>313</v>
      </c>
      <c r="B141" s="93" t="s">
        <v>314</v>
      </c>
      <c r="C141" s="94" t="s">
        <v>65</v>
      </c>
      <c r="D141" s="95">
        <v>28</v>
      </c>
    </row>
    <row r="142" spans="1:4" ht="16.5" x14ac:dyDescent="0.3">
      <c r="A142" s="105" t="s">
        <v>315</v>
      </c>
      <c r="B142" s="93" t="s">
        <v>316</v>
      </c>
      <c r="C142" s="94" t="s">
        <v>65</v>
      </c>
      <c r="D142" s="95">
        <v>27</v>
      </c>
    </row>
    <row r="143" spans="1:4" ht="16.5" x14ac:dyDescent="0.3">
      <c r="A143" s="105" t="s">
        <v>317</v>
      </c>
      <c r="B143" s="93" t="s">
        <v>318</v>
      </c>
      <c r="C143" s="94" t="s">
        <v>37</v>
      </c>
      <c r="D143" s="95">
        <v>3.3</v>
      </c>
    </row>
    <row r="144" spans="1:4" ht="16.5" x14ac:dyDescent="0.3">
      <c r="A144" s="105" t="s">
        <v>319</v>
      </c>
      <c r="B144" s="93" t="s">
        <v>320</v>
      </c>
      <c r="C144" s="94" t="s">
        <v>65</v>
      </c>
      <c r="D144" s="95">
        <v>42</v>
      </c>
    </row>
    <row r="145" spans="1:4" ht="16.5" x14ac:dyDescent="0.3">
      <c r="A145" s="105" t="s">
        <v>321</v>
      </c>
      <c r="B145" s="93" t="s">
        <v>322</v>
      </c>
      <c r="C145" s="94" t="s">
        <v>65</v>
      </c>
      <c r="D145" s="95"/>
    </row>
    <row r="146" spans="1:4" ht="16.5" x14ac:dyDescent="0.3">
      <c r="A146" s="105" t="s">
        <v>323</v>
      </c>
      <c r="B146" s="93" t="s">
        <v>324</v>
      </c>
      <c r="C146" s="94" t="s">
        <v>65</v>
      </c>
      <c r="D146" s="95"/>
    </row>
    <row r="147" spans="1:4" ht="16.5" x14ac:dyDescent="0.3">
      <c r="A147" s="105" t="s">
        <v>325</v>
      </c>
      <c r="B147" s="93" t="s">
        <v>326</v>
      </c>
      <c r="C147" s="94" t="s">
        <v>65</v>
      </c>
      <c r="D147" s="99">
        <v>48</v>
      </c>
    </row>
    <row r="148" spans="1:4" ht="16.5" x14ac:dyDescent="0.3">
      <c r="A148" s="105" t="s">
        <v>327</v>
      </c>
      <c r="B148" s="93" t="s">
        <v>328</v>
      </c>
      <c r="C148" s="94" t="s">
        <v>65</v>
      </c>
      <c r="D148" s="95"/>
    </row>
    <row r="149" spans="1:4" ht="16.5" x14ac:dyDescent="0.3">
      <c r="A149" s="105" t="s">
        <v>329</v>
      </c>
      <c r="B149" s="93" t="s">
        <v>330</v>
      </c>
      <c r="C149" s="94" t="s">
        <v>65</v>
      </c>
      <c r="D149" s="95"/>
    </row>
    <row r="150" spans="1:4" ht="16.5" x14ac:dyDescent="0.3">
      <c r="A150" s="105" t="s">
        <v>331</v>
      </c>
      <c r="B150" s="93" t="s">
        <v>332</v>
      </c>
      <c r="C150" s="94" t="s">
        <v>65</v>
      </c>
      <c r="D150" s="95">
        <v>38</v>
      </c>
    </row>
    <row r="151" spans="1:4" ht="16.5" x14ac:dyDescent="0.3">
      <c r="A151" s="105" t="s">
        <v>333</v>
      </c>
      <c r="B151" s="93" t="s">
        <v>334</v>
      </c>
      <c r="C151" s="94" t="s">
        <v>65</v>
      </c>
      <c r="D151" s="95">
        <v>2</v>
      </c>
    </row>
    <row r="152" spans="1:4" ht="16.5" x14ac:dyDescent="0.3">
      <c r="A152" s="105" t="s">
        <v>335</v>
      </c>
      <c r="B152" s="93" t="s">
        <v>336</v>
      </c>
      <c r="C152" s="94" t="s">
        <v>65</v>
      </c>
      <c r="D152" s="95"/>
    </row>
    <row r="153" spans="1:4" ht="16.5" x14ac:dyDescent="0.3">
      <c r="A153" s="105" t="s">
        <v>337</v>
      </c>
      <c r="B153" s="93" t="s">
        <v>338</v>
      </c>
      <c r="C153" s="94" t="s">
        <v>65</v>
      </c>
      <c r="D153" s="95"/>
    </row>
    <row r="154" spans="1:4" ht="16.5" x14ac:dyDescent="0.3">
      <c r="A154" s="105" t="s">
        <v>339</v>
      </c>
      <c r="B154" s="96" t="s">
        <v>340</v>
      </c>
      <c r="C154" s="97" t="s">
        <v>34</v>
      </c>
      <c r="D154" s="95">
        <v>57</v>
      </c>
    </row>
    <row r="155" spans="1:4" ht="17.25" thickBot="1" x14ac:dyDescent="0.35">
      <c r="A155" s="195" t="s">
        <v>341</v>
      </c>
      <c r="B155" s="196"/>
      <c r="C155" s="94"/>
      <c r="D155" s="101"/>
    </row>
    <row r="156" spans="1:4" ht="17.25" thickBot="1" x14ac:dyDescent="0.35">
      <c r="A156" s="84">
        <v>6</v>
      </c>
      <c r="B156" s="85" t="s">
        <v>342</v>
      </c>
      <c r="C156" s="102"/>
      <c r="D156" s="106"/>
    </row>
    <row r="157" spans="1:4" ht="16.5" x14ac:dyDescent="0.3">
      <c r="A157" s="105" t="s">
        <v>343</v>
      </c>
      <c r="B157" s="93" t="s">
        <v>344</v>
      </c>
      <c r="C157" s="94" t="s">
        <v>37</v>
      </c>
      <c r="D157" s="95">
        <v>12</v>
      </c>
    </row>
    <row r="158" spans="1:4" ht="16.5" x14ac:dyDescent="0.3">
      <c r="A158" s="105" t="s">
        <v>345</v>
      </c>
      <c r="B158" s="93" t="s">
        <v>346</v>
      </c>
      <c r="C158" s="94" t="s">
        <v>37</v>
      </c>
      <c r="D158" s="95">
        <v>6</v>
      </c>
    </row>
    <row r="159" spans="1:4" ht="16.5" x14ac:dyDescent="0.3">
      <c r="A159" s="105" t="s">
        <v>347</v>
      </c>
      <c r="B159" s="93" t="s">
        <v>348</v>
      </c>
      <c r="C159" s="94" t="s">
        <v>37</v>
      </c>
      <c r="D159" s="95">
        <v>7.06</v>
      </c>
    </row>
    <row r="160" spans="1:4" ht="16.5" x14ac:dyDescent="0.3">
      <c r="A160" s="105" t="s">
        <v>349</v>
      </c>
      <c r="B160" s="93" t="s">
        <v>350</v>
      </c>
      <c r="C160" s="94" t="s">
        <v>37</v>
      </c>
      <c r="D160" s="95">
        <v>7.75</v>
      </c>
    </row>
    <row r="161" spans="1:4" ht="16.5" x14ac:dyDescent="0.3">
      <c r="A161" s="105" t="s">
        <v>351</v>
      </c>
      <c r="B161" s="93" t="s">
        <v>352</v>
      </c>
      <c r="C161" s="94" t="s">
        <v>37</v>
      </c>
      <c r="D161" s="95">
        <v>10</v>
      </c>
    </row>
    <row r="162" spans="1:4" ht="16.5" x14ac:dyDescent="0.3">
      <c r="A162" s="105" t="s">
        <v>353</v>
      </c>
      <c r="B162" s="93" t="s">
        <v>354</v>
      </c>
      <c r="C162" s="94" t="s">
        <v>37</v>
      </c>
      <c r="D162" s="95">
        <v>10.3</v>
      </c>
    </row>
    <row r="163" spans="1:4" ht="16.5" x14ac:dyDescent="0.3">
      <c r="A163" s="105" t="s">
        <v>355</v>
      </c>
      <c r="B163" s="93" t="s">
        <v>356</v>
      </c>
      <c r="C163" s="94" t="s">
        <v>37</v>
      </c>
      <c r="D163" s="95">
        <v>14</v>
      </c>
    </row>
    <row r="164" spans="1:4" ht="16.5" x14ac:dyDescent="0.3">
      <c r="A164" s="105" t="s">
        <v>357</v>
      </c>
      <c r="B164" s="93" t="s">
        <v>358</v>
      </c>
      <c r="C164" s="94" t="s">
        <v>37</v>
      </c>
      <c r="D164" s="95">
        <v>2.98</v>
      </c>
    </row>
    <row r="165" spans="1:4" ht="16.5" x14ac:dyDescent="0.3">
      <c r="A165" s="105" t="s">
        <v>359</v>
      </c>
      <c r="B165" s="107" t="s">
        <v>360</v>
      </c>
      <c r="C165" s="94" t="s">
        <v>37</v>
      </c>
      <c r="D165" s="95">
        <v>10</v>
      </c>
    </row>
    <row r="166" spans="1:4" ht="16.5" x14ac:dyDescent="0.3">
      <c r="A166" s="105" t="s">
        <v>361</v>
      </c>
      <c r="B166" s="93" t="s">
        <v>362</v>
      </c>
      <c r="C166" s="94" t="s">
        <v>37</v>
      </c>
      <c r="D166" s="95">
        <v>12</v>
      </c>
    </row>
    <row r="167" spans="1:4" ht="16.5" x14ac:dyDescent="0.3">
      <c r="A167" s="105" t="s">
        <v>363</v>
      </c>
      <c r="B167" s="93" t="s">
        <v>364</v>
      </c>
      <c r="C167" s="94" t="s">
        <v>37</v>
      </c>
      <c r="D167" s="95">
        <v>8.3000000000000007</v>
      </c>
    </row>
    <row r="168" spans="1:4" ht="16.5" x14ac:dyDescent="0.3">
      <c r="A168" s="105" t="s">
        <v>365</v>
      </c>
      <c r="B168" s="93" t="s">
        <v>366</v>
      </c>
      <c r="C168" s="94" t="s">
        <v>37</v>
      </c>
      <c r="D168" s="95">
        <v>13</v>
      </c>
    </row>
    <row r="169" spans="1:4" ht="17.25" thickBot="1" x14ac:dyDescent="0.35">
      <c r="A169" s="195" t="s">
        <v>367</v>
      </c>
      <c r="B169" s="196"/>
      <c r="C169" s="94"/>
      <c r="D169" s="101"/>
    </row>
    <row r="170" spans="1:4" ht="17.25" thickBot="1" x14ac:dyDescent="0.35">
      <c r="A170" s="84">
        <v>7</v>
      </c>
      <c r="B170" s="85" t="s">
        <v>368</v>
      </c>
      <c r="C170" s="102"/>
      <c r="D170" s="106"/>
    </row>
    <row r="171" spans="1:4" ht="16.5" x14ac:dyDescent="0.3">
      <c r="A171" s="105" t="s">
        <v>369</v>
      </c>
      <c r="B171" s="93" t="s">
        <v>370</v>
      </c>
      <c r="C171" s="94" t="s">
        <v>38</v>
      </c>
      <c r="D171" s="95">
        <v>8.5</v>
      </c>
    </row>
    <row r="172" spans="1:4" ht="16.5" x14ac:dyDescent="0.3">
      <c r="A172" s="105" t="s">
        <v>371</v>
      </c>
      <c r="B172" s="93" t="s">
        <v>372</v>
      </c>
      <c r="C172" s="94" t="s">
        <v>37</v>
      </c>
      <c r="D172" s="95">
        <v>404</v>
      </c>
    </row>
    <row r="173" spans="1:4" ht="16.5" x14ac:dyDescent="0.3">
      <c r="A173" s="105" t="s">
        <v>373</v>
      </c>
      <c r="B173" s="93" t="s">
        <v>374</v>
      </c>
      <c r="C173" s="94" t="s">
        <v>37</v>
      </c>
      <c r="D173" s="95">
        <v>404</v>
      </c>
    </row>
    <row r="174" spans="1:4" ht="16.5" x14ac:dyDescent="0.3">
      <c r="A174" s="105" t="s">
        <v>375</v>
      </c>
      <c r="B174" s="93" t="s">
        <v>376</v>
      </c>
      <c r="C174" s="94" t="s">
        <v>37</v>
      </c>
      <c r="D174" s="95">
        <v>200</v>
      </c>
    </row>
    <row r="175" spans="1:4" ht="16.5" x14ac:dyDescent="0.3">
      <c r="A175" s="105" t="s">
        <v>377</v>
      </c>
      <c r="B175" s="93" t="s">
        <v>378</v>
      </c>
      <c r="C175" s="94" t="s">
        <v>37</v>
      </c>
      <c r="D175" s="95">
        <v>404</v>
      </c>
    </row>
    <row r="176" spans="1:4" ht="16.5" x14ac:dyDescent="0.3">
      <c r="A176" s="105" t="s">
        <v>379</v>
      </c>
      <c r="B176" s="93" t="s">
        <v>380</v>
      </c>
      <c r="C176" s="94" t="s">
        <v>37</v>
      </c>
      <c r="D176" s="95">
        <v>200</v>
      </c>
    </row>
    <row r="177" spans="1:4" ht="16.5" x14ac:dyDescent="0.3">
      <c r="A177" s="105" t="s">
        <v>381</v>
      </c>
      <c r="B177" s="93" t="s">
        <v>382</v>
      </c>
      <c r="C177" s="94" t="s">
        <v>37</v>
      </c>
      <c r="D177" s="95">
        <v>360</v>
      </c>
    </row>
    <row r="178" spans="1:4" ht="16.5" x14ac:dyDescent="0.3">
      <c r="A178" s="105" t="s">
        <v>383</v>
      </c>
      <c r="B178" s="93" t="s">
        <v>384</v>
      </c>
      <c r="C178" s="94" t="s">
        <v>37</v>
      </c>
      <c r="D178" s="95">
        <v>45</v>
      </c>
    </row>
    <row r="179" spans="1:4" ht="16.5" x14ac:dyDescent="0.3">
      <c r="A179" s="105" t="s">
        <v>385</v>
      </c>
      <c r="B179" s="93" t="s">
        <v>386</v>
      </c>
      <c r="C179" s="94" t="s">
        <v>37</v>
      </c>
      <c r="D179" s="95">
        <v>6</v>
      </c>
    </row>
    <row r="180" spans="1:4" ht="16.5" x14ac:dyDescent="0.3">
      <c r="A180" s="105" t="s">
        <v>387</v>
      </c>
      <c r="B180" s="93" t="s">
        <v>388</v>
      </c>
      <c r="C180" s="94" t="s">
        <v>37</v>
      </c>
      <c r="D180" s="95"/>
    </row>
    <row r="181" spans="1:4" ht="16.5" x14ac:dyDescent="0.3">
      <c r="A181" s="105" t="s">
        <v>389</v>
      </c>
      <c r="B181" s="93" t="s">
        <v>390</v>
      </c>
      <c r="C181" s="94" t="s">
        <v>37</v>
      </c>
      <c r="D181" s="95">
        <v>4.5</v>
      </c>
    </row>
    <row r="182" spans="1:4" ht="16.5" x14ac:dyDescent="0.3">
      <c r="A182" s="105" t="s">
        <v>391</v>
      </c>
      <c r="B182" s="93" t="s">
        <v>392</v>
      </c>
      <c r="C182" s="94" t="s">
        <v>37</v>
      </c>
      <c r="D182" s="95">
        <v>11</v>
      </c>
    </row>
    <row r="183" spans="1:4" ht="16.5" x14ac:dyDescent="0.3">
      <c r="A183" s="105" t="s">
        <v>393</v>
      </c>
      <c r="B183" s="93" t="s">
        <v>394</v>
      </c>
      <c r="C183" s="94" t="s">
        <v>37</v>
      </c>
      <c r="D183" s="95">
        <v>7</v>
      </c>
    </row>
    <row r="184" spans="1:4" ht="16.5" x14ac:dyDescent="0.3">
      <c r="A184" s="105" t="s">
        <v>395</v>
      </c>
      <c r="B184" s="93" t="s">
        <v>396</v>
      </c>
      <c r="C184" s="94" t="s">
        <v>56</v>
      </c>
      <c r="D184" s="99">
        <v>90</v>
      </c>
    </row>
    <row r="185" spans="1:4" ht="16.5" x14ac:dyDescent="0.3">
      <c r="A185" s="105" t="s">
        <v>397</v>
      </c>
      <c r="B185" s="93" t="s">
        <v>398</v>
      </c>
      <c r="C185" s="94" t="s">
        <v>37</v>
      </c>
      <c r="D185" s="99">
        <v>150</v>
      </c>
    </row>
    <row r="186" spans="1:4" ht="16.5" x14ac:dyDescent="0.3">
      <c r="A186" s="105" t="s">
        <v>399</v>
      </c>
      <c r="B186" s="93" t="s">
        <v>400</v>
      </c>
      <c r="C186" s="94" t="s">
        <v>37</v>
      </c>
      <c r="D186" s="95">
        <v>27</v>
      </c>
    </row>
    <row r="187" spans="1:4" ht="16.5" x14ac:dyDescent="0.3">
      <c r="A187" s="105" t="s">
        <v>401</v>
      </c>
      <c r="B187" s="93" t="s">
        <v>402</v>
      </c>
      <c r="C187" s="94" t="s">
        <v>37</v>
      </c>
      <c r="D187" s="95">
        <v>12.67</v>
      </c>
    </row>
    <row r="188" spans="1:4" ht="16.5" x14ac:dyDescent="0.3">
      <c r="A188" s="105" t="s">
        <v>403</v>
      </c>
      <c r="B188" s="93" t="s">
        <v>404</v>
      </c>
      <c r="C188" s="94" t="s">
        <v>37</v>
      </c>
      <c r="D188" s="95">
        <v>22</v>
      </c>
    </row>
    <row r="189" spans="1:4" ht="16.5" x14ac:dyDescent="0.3">
      <c r="A189" s="105" t="s">
        <v>405</v>
      </c>
      <c r="B189" s="93" t="s">
        <v>406</v>
      </c>
      <c r="C189" s="94" t="s">
        <v>37</v>
      </c>
      <c r="D189" s="95">
        <v>8.3000000000000007</v>
      </c>
    </row>
    <row r="190" spans="1:4" ht="16.5" x14ac:dyDescent="0.3">
      <c r="A190" s="105" t="s">
        <v>407</v>
      </c>
      <c r="B190" s="93" t="s">
        <v>408</v>
      </c>
      <c r="C190" s="94" t="s">
        <v>37</v>
      </c>
      <c r="D190" s="95">
        <v>48</v>
      </c>
    </row>
    <row r="191" spans="1:4" ht="16.5" x14ac:dyDescent="0.3">
      <c r="A191" s="105" t="s">
        <v>409</v>
      </c>
      <c r="B191" s="93" t="s">
        <v>410</v>
      </c>
      <c r="C191" s="94" t="s">
        <v>37</v>
      </c>
      <c r="D191" s="95"/>
    </row>
    <row r="192" spans="1:4" ht="17.25" thickBot="1" x14ac:dyDescent="0.35">
      <c r="A192" s="195" t="s">
        <v>411</v>
      </c>
      <c r="B192" s="196"/>
      <c r="C192" s="94"/>
      <c r="D192" s="101"/>
    </row>
    <row r="193" spans="1:4" ht="17.25" thickBot="1" x14ac:dyDescent="0.35">
      <c r="A193" s="84">
        <v>8</v>
      </c>
      <c r="B193" s="85" t="s">
        <v>412</v>
      </c>
      <c r="C193" s="102"/>
      <c r="D193" s="106"/>
    </row>
    <row r="194" spans="1:4" ht="16.5" x14ac:dyDescent="0.3">
      <c r="A194" s="105" t="s">
        <v>413</v>
      </c>
      <c r="B194" s="93" t="s">
        <v>414</v>
      </c>
      <c r="C194" s="94" t="s">
        <v>65</v>
      </c>
      <c r="D194" s="95">
        <v>10</v>
      </c>
    </row>
    <row r="195" spans="1:4" ht="16.5" x14ac:dyDescent="0.3">
      <c r="A195" s="105" t="s">
        <v>415</v>
      </c>
      <c r="B195" s="93" t="s">
        <v>416</v>
      </c>
      <c r="C195" s="94" t="s">
        <v>65</v>
      </c>
      <c r="D195" s="99">
        <v>18</v>
      </c>
    </row>
    <row r="196" spans="1:4" ht="16.5" x14ac:dyDescent="0.3">
      <c r="A196" s="105" t="s">
        <v>417</v>
      </c>
      <c r="B196" s="93" t="s">
        <v>418</v>
      </c>
      <c r="C196" s="94" t="s">
        <v>65</v>
      </c>
      <c r="D196" s="95">
        <v>22</v>
      </c>
    </row>
    <row r="197" spans="1:4" ht="16.5" x14ac:dyDescent="0.3">
      <c r="A197" s="105" t="s">
        <v>419</v>
      </c>
      <c r="B197" s="93" t="s">
        <v>420</v>
      </c>
      <c r="C197" s="94" t="s">
        <v>65</v>
      </c>
      <c r="D197" s="95">
        <v>12</v>
      </c>
    </row>
    <row r="198" spans="1:4" ht="16.5" x14ac:dyDescent="0.3">
      <c r="A198" s="105" t="s">
        <v>421</v>
      </c>
      <c r="B198" s="93" t="s">
        <v>422</v>
      </c>
      <c r="C198" s="94" t="s">
        <v>65</v>
      </c>
      <c r="D198" s="95">
        <v>20</v>
      </c>
    </row>
    <row r="199" spans="1:4" ht="16.5" x14ac:dyDescent="0.3">
      <c r="A199" s="105" t="s">
        <v>423</v>
      </c>
      <c r="B199" s="93" t="s">
        <v>424</v>
      </c>
      <c r="C199" s="94" t="s">
        <v>65</v>
      </c>
      <c r="D199" s="95">
        <v>20</v>
      </c>
    </row>
    <row r="200" spans="1:4" ht="16.5" x14ac:dyDescent="0.3">
      <c r="A200" s="105" t="s">
        <v>425</v>
      </c>
      <c r="B200" s="93" t="s">
        <v>426</v>
      </c>
      <c r="C200" s="94" t="s">
        <v>65</v>
      </c>
      <c r="D200" s="95">
        <v>6</v>
      </c>
    </row>
    <row r="201" spans="1:4" ht="16.5" x14ac:dyDescent="0.3">
      <c r="A201" s="105" t="s">
        <v>427</v>
      </c>
      <c r="B201" s="93" t="s">
        <v>428</v>
      </c>
      <c r="C201" s="94" t="s">
        <v>65</v>
      </c>
      <c r="D201" s="95">
        <v>5</v>
      </c>
    </row>
    <row r="202" spans="1:4" ht="16.5" x14ac:dyDescent="0.3">
      <c r="A202" s="105" t="s">
        <v>429</v>
      </c>
      <c r="B202" s="93" t="s">
        <v>430</v>
      </c>
      <c r="C202" s="94" t="s">
        <v>65</v>
      </c>
      <c r="D202" s="95">
        <v>7</v>
      </c>
    </row>
    <row r="203" spans="1:4" ht="16.5" x14ac:dyDescent="0.3">
      <c r="A203" s="105" t="s">
        <v>431</v>
      </c>
      <c r="B203" s="93" t="s">
        <v>432</v>
      </c>
      <c r="C203" s="94" t="s">
        <v>65</v>
      </c>
      <c r="D203" s="95">
        <v>7</v>
      </c>
    </row>
    <row r="204" spans="1:4" ht="16.5" x14ac:dyDescent="0.3">
      <c r="A204" s="105" t="s">
        <v>433</v>
      </c>
      <c r="B204" s="93" t="s">
        <v>434</v>
      </c>
      <c r="C204" s="94" t="s">
        <v>65</v>
      </c>
      <c r="D204" s="95">
        <v>10</v>
      </c>
    </row>
    <row r="205" spans="1:4" ht="16.5" x14ac:dyDescent="0.3">
      <c r="A205" s="105" t="s">
        <v>435</v>
      </c>
      <c r="B205" s="93" t="s">
        <v>436</v>
      </c>
      <c r="C205" s="94" t="s">
        <v>65</v>
      </c>
      <c r="D205" s="95">
        <v>20</v>
      </c>
    </row>
    <row r="206" spans="1:4" ht="16.5" x14ac:dyDescent="0.3">
      <c r="A206" s="105" t="s">
        <v>437</v>
      </c>
      <c r="B206" s="93" t="s">
        <v>438</v>
      </c>
      <c r="C206" s="94" t="s">
        <v>65</v>
      </c>
      <c r="D206" s="95">
        <v>7</v>
      </c>
    </row>
    <row r="207" spans="1:4" ht="16.5" x14ac:dyDescent="0.3">
      <c r="A207" s="105" t="s">
        <v>439</v>
      </c>
      <c r="B207" s="93" t="s">
        <v>440</v>
      </c>
      <c r="C207" s="94" t="s">
        <v>65</v>
      </c>
      <c r="D207" s="95">
        <v>5</v>
      </c>
    </row>
    <row r="208" spans="1:4" ht="16.5" x14ac:dyDescent="0.3">
      <c r="A208" s="105" t="s">
        <v>441</v>
      </c>
      <c r="B208" s="93" t="s">
        <v>442</v>
      </c>
      <c r="C208" s="94" t="s">
        <v>65</v>
      </c>
      <c r="D208" s="95">
        <v>15</v>
      </c>
    </row>
    <row r="209" spans="1:4" ht="16.5" x14ac:dyDescent="0.3">
      <c r="A209" s="105" t="s">
        <v>443</v>
      </c>
      <c r="B209" s="93" t="s">
        <v>444</v>
      </c>
      <c r="C209" s="94" t="s">
        <v>65</v>
      </c>
      <c r="D209" s="95">
        <v>13</v>
      </c>
    </row>
    <row r="210" spans="1:4" ht="16.5" x14ac:dyDescent="0.3">
      <c r="A210" s="105" t="s">
        <v>445</v>
      </c>
      <c r="B210" s="93" t="s">
        <v>446</v>
      </c>
      <c r="C210" s="94" t="s">
        <v>65</v>
      </c>
      <c r="D210" s="95">
        <v>10</v>
      </c>
    </row>
    <row r="211" spans="1:4" ht="16.5" x14ac:dyDescent="0.3">
      <c r="A211" s="105" t="s">
        <v>447</v>
      </c>
      <c r="B211" s="93" t="s">
        <v>448</v>
      </c>
      <c r="C211" s="94" t="s">
        <v>65</v>
      </c>
      <c r="D211" s="95">
        <v>10</v>
      </c>
    </row>
    <row r="212" spans="1:4" ht="16.5" x14ac:dyDescent="0.3">
      <c r="A212" s="105" t="s">
        <v>449</v>
      </c>
      <c r="B212" s="93" t="s">
        <v>450</v>
      </c>
      <c r="C212" s="94" t="s">
        <v>65</v>
      </c>
      <c r="D212" s="95">
        <v>28</v>
      </c>
    </row>
    <row r="213" spans="1:4" ht="16.5" x14ac:dyDescent="0.3">
      <c r="A213" s="108" t="s">
        <v>451</v>
      </c>
      <c r="B213" s="96" t="s">
        <v>452</v>
      </c>
      <c r="C213" s="97" t="s">
        <v>65</v>
      </c>
      <c r="D213" s="95">
        <v>6.5</v>
      </c>
    </row>
    <row r="214" spans="1:4" ht="16.5" x14ac:dyDescent="0.3">
      <c r="A214" s="105" t="s">
        <v>453</v>
      </c>
      <c r="B214" s="93" t="s">
        <v>454</v>
      </c>
      <c r="C214" s="94" t="s">
        <v>65</v>
      </c>
      <c r="D214" s="95">
        <v>10</v>
      </c>
    </row>
    <row r="215" spans="1:4" ht="16.5" x14ac:dyDescent="0.3">
      <c r="A215" s="105" t="s">
        <v>455</v>
      </c>
      <c r="B215" s="93" t="s">
        <v>456</v>
      </c>
      <c r="C215" s="94" t="s">
        <v>37</v>
      </c>
      <c r="D215" s="95">
        <v>5</v>
      </c>
    </row>
    <row r="216" spans="1:4" ht="16.5" x14ac:dyDescent="0.3">
      <c r="A216" s="105" t="s">
        <v>457</v>
      </c>
      <c r="B216" s="93" t="s">
        <v>458</v>
      </c>
      <c r="C216" s="94" t="s">
        <v>65</v>
      </c>
      <c r="D216" s="95">
        <v>8</v>
      </c>
    </row>
    <row r="217" spans="1:4" ht="16.5" x14ac:dyDescent="0.3">
      <c r="A217" s="105" t="s">
        <v>459</v>
      </c>
      <c r="B217" s="93" t="s">
        <v>460</v>
      </c>
      <c r="C217" s="94" t="s">
        <v>65</v>
      </c>
      <c r="D217" s="95">
        <v>13</v>
      </c>
    </row>
    <row r="218" spans="1:4" ht="16.5" x14ac:dyDescent="0.3">
      <c r="A218" s="105" t="s">
        <v>461</v>
      </c>
      <c r="B218" s="93" t="s">
        <v>462</v>
      </c>
      <c r="C218" s="94" t="s">
        <v>65</v>
      </c>
      <c r="D218" s="95">
        <v>8</v>
      </c>
    </row>
    <row r="219" spans="1:4" ht="16.5" x14ac:dyDescent="0.3">
      <c r="A219" s="105" t="s">
        <v>463</v>
      </c>
      <c r="B219" s="93" t="s">
        <v>464</v>
      </c>
      <c r="C219" s="94" t="s">
        <v>37</v>
      </c>
      <c r="D219" s="95">
        <v>16</v>
      </c>
    </row>
    <row r="220" spans="1:4" ht="16.5" x14ac:dyDescent="0.3">
      <c r="A220" s="105" t="s">
        <v>465</v>
      </c>
      <c r="B220" s="93" t="s">
        <v>466</v>
      </c>
      <c r="C220" s="94" t="s">
        <v>65</v>
      </c>
      <c r="D220" s="95">
        <v>16</v>
      </c>
    </row>
    <row r="221" spans="1:4" ht="16.5" x14ac:dyDescent="0.3">
      <c r="A221" s="105" t="s">
        <v>467</v>
      </c>
      <c r="B221" s="93" t="s">
        <v>468</v>
      </c>
      <c r="C221" s="94" t="s">
        <v>35</v>
      </c>
      <c r="D221" s="95">
        <v>8</v>
      </c>
    </row>
    <row r="222" spans="1:4" ht="16.5" x14ac:dyDescent="0.3">
      <c r="A222" s="105" t="s">
        <v>469</v>
      </c>
      <c r="B222" s="93" t="s">
        <v>470</v>
      </c>
      <c r="C222" s="94" t="s">
        <v>65</v>
      </c>
      <c r="D222" s="95">
        <v>6</v>
      </c>
    </row>
    <row r="223" spans="1:4" ht="16.5" x14ac:dyDescent="0.3">
      <c r="A223" s="105" t="s">
        <v>471</v>
      </c>
      <c r="B223" s="93" t="s">
        <v>472</v>
      </c>
      <c r="C223" s="94" t="s">
        <v>37</v>
      </c>
      <c r="D223" s="99">
        <v>30</v>
      </c>
    </row>
    <row r="224" spans="1:4" ht="16.5" x14ac:dyDescent="0.3">
      <c r="A224" s="105" t="s">
        <v>473</v>
      </c>
      <c r="B224" s="93" t="s">
        <v>474</v>
      </c>
      <c r="C224" s="94" t="s">
        <v>37</v>
      </c>
      <c r="D224" s="99">
        <v>165</v>
      </c>
    </row>
    <row r="225" spans="1:4" ht="16.5" x14ac:dyDescent="0.3">
      <c r="A225" s="105" t="s">
        <v>475</v>
      </c>
      <c r="B225" s="93" t="s">
        <v>476</v>
      </c>
      <c r="C225" s="94" t="s">
        <v>65</v>
      </c>
      <c r="D225" s="95">
        <v>7</v>
      </c>
    </row>
    <row r="226" spans="1:4" ht="16.5" x14ac:dyDescent="0.3">
      <c r="A226" s="105" t="s">
        <v>477</v>
      </c>
      <c r="B226" s="93" t="s">
        <v>478</v>
      </c>
      <c r="C226" s="94" t="s">
        <v>65</v>
      </c>
      <c r="D226" s="95">
        <v>10</v>
      </c>
    </row>
    <row r="227" spans="1:4" ht="16.5" x14ac:dyDescent="0.3">
      <c r="A227" s="105"/>
      <c r="B227" s="93" t="s">
        <v>479</v>
      </c>
      <c r="C227" s="94" t="s">
        <v>65</v>
      </c>
      <c r="D227" s="95">
        <v>8</v>
      </c>
    </row>
    <row r="228" spans="1:4" ht="16.5" x14ac:dyDescent="0.3">
      <c r="A228" s="105" t="s">
        <v>480</v>
      </c>
      <c r="B228" s="93" t="s">
        <v>481</v>
      </c>
      <c r="C228" s="94" t="s">
        <v>65</v>
      </c>
      <c r="D228" s="95">
        <v>10</v>
      </c>
    </row>
    <row r="229" spans="1:4" ht="16.5" x14ac:dyDescent="0.3">
      <c r="A229" s="105" t="s">
        <v>482</v>
      </c>
      <c r="B229" s="93" t="s">
        <v>483</v>
      </c>
      <c r="C229" s="94" t="s">
        <v>65</v>
      </c>
      <c r="D229" s="95">
        <v>10</v>
      </c>
    </row>
    <row r="230" spans="1:4" ht="16.5" x14ac:dyDescent="0.3">
      <c r="A230" s="105" t="s">
        <v>484</v>
      </c>
      <c r="B230" s="93" t="s">
        <v>485</v>
      </c>
      <c r="C230" s="94" t="s">
        <v>65</v>
      </c>
      <c r="D230" s="95">
        <v>10</v>
      </c>
    </row>
    <row r="231" spans="1:4" ht="16.5" x14ac:dyDescent="0.3">
      <c r="A231" s="105" t="s">
        <v>486</v>
      </c>
      <c r="B231" s="93" t="s">
        <v>487</v>
      </c>
      <c r="C231" s="94" t="s">
        <v>38</v>
      </c>
      <c r="D231" s="95">
        <v>150</v>
      </c>
    </row>
    <row r="232" spans="1:4" ht="16.5" x14ac:dyDescent="0.3">
      <c r="A232" s="105" t="s">
        <v>488</v>
      </c>
      <c r="B232" s="93" t="s">
        <v>489</v>
      </c>
      <c r="C232" s="94" t="s">
        <v>65</v>
      </c>
      <c r="D232" s="95">
        <v>9</v>
      </c>
    </row>
    <row r="233" spans="1:4" ht="16.5" x14ac:dyDescent="0.3">
      <c r="A233" s="105" t="s">
        <v>490</v>
      </c>
      <c r="B233" s="93" t="s">
        <v>491</v>
      </c>
      <c r="C233" s="94" t="s">
        <v>65</v>
      </c>
      <c r="D233" s="95">
        <v>10</v>
      </c>
    </row>
    <row r="234" spans="1:4" ht="16.5" x14ac:dyDescent="0.3">
      <c r="A234" s="105" t="s">
        <v>492</v>
      </c>
      <c r="B234" s="93" t="s">
        <v>493</v>
      </c>
      <c r="C234" s="94" t="s">
        <v>494</v>
      </c>
      <c r="D234" s="95">
        <v>85</v>
      </c>
    </row>
    <row r="235" spans="1:4" ht="16.5" x14ac:dyDescent="0.3">
      <c r="A235" s="105" t="s">
        <v>495</v>
      </c>
      <c r="B235" s="93" t="s">
        <v>496</v>
      </c>
      <c r="C235" s="94" t="s">
        <v>65</v>
      </c>
      <c r="D235" s="95">
        <v>4.75</v>
      </c>
    </row>
    <row r="236" spans="1:4" ht="16.5" x14ac:dyDescent="0.3">
      <c r="A236" s="105" t="s">
        <v>497</v>
      </c>
      <c r="B236" s="93" t="s">
        <v>498</v>
      </c>
      <c r="C236" s="94" t="s">
        <v>65</v>
      </c>
      <c r="D236" s="95">
        <v>5.5</v>
      </c>
    </row>
    <row r="237" spans="1:4" ht="16.5" x14ac:dyDescent="0.3">
      <c r="A237" s="105" t="s">
        <v>499</v>
      </c>
      <c r="B237" s="93" t="s">
        <v>500</v>
      </c>
      <c r="C237" s="94" t="s">
        <v>65</v>
      </c>
      <c r="D237" s="95">
        <v>5.5</v>
      </c>
    </row>
    <row r="238" spans="1:4" ht="16.5" x14ac:dyDescent="0.3">
      <c r="A238" s="105" t="s">
        <v>501</v>
      </c>
      <c r="B238" s="93" t="s">
        <v>502</v>
      </c>
      <c r="C238" s="94" t="s">
        <v>65</v>
      </c>
      <c r="D238" s="95">
        <v>7</v>
      </c>
    </row>
    <row r="239" spans="1:4" ht="16.5" x14ac:dyDescent="0.3">
      <c r="A239" s="105" t="s">
        <v>503</v>
      </c>
      <c r="B239" s="93" t="s">
        <v>504</v>
      </c>
      <c r="C239" s="94" t="s">
        <v>37</v>
      </c>
      <c r="D239" s="99">
        <v>58</v>
      </c>
    </row>
    <row r="240" spans="1:4" ht="16.5" x14ac:dyDescent="0.3">
      <c r="A240" s="105" t="s">
        <v>505</v>
      </c>
      <c r="B240" s="93" t="s">
        <v>506</v>
      </c>
      <c r="C240" s="94" t="s">
        <v>65</v>
      </c>
      <c r="D240" s="95">
        <v>10</v>
      </c>
    </row>
    <row r="241" spans="1:4" ht="16.5" x14ac:dyDescent="0.3">
      <c r="A241" s="105" t="s">
        <v>507</v>
      </c>
      <c r="B241" s="93" t="s">
        <v>508</v>
      </c>
      <c r="C241" s="94" t="s">
        <v>65</v>
      </c>
      <c r="D241" s="95">
        <v>5</v>
      </c>
    </row>
    <row r="242" spans="1:4" ht="16.5" x14ac:dyDescent="0.3">
      <c r="A242" s="105" t="s">
        <v>509</v>
      </c>
      <c r="B242" s="93" t="s">
        <v>510</v>
      </c>
      <c r="C242" s="94" t="s">
        <v>65</v>
      </c>
      <c r="D242" s="95">
        <v>5.2</v>
      </c>
    </row>
    <row r="243" spans="1:4" ht="16.5" x14ac:dyDescent="0.3">
      <c r="A243" s="105" t="s">
        <v>511</v>
      </c>
      <c r="B243" s="93" t="s">
        <v>512</v>
      </c>
      <c r="C243" s="94" t="s">
        <v>38</v>
      </c>
      <c r="D243" s="95">
        <v>198</v>
      </c>
    </row>
    <row r="244" spans="1:4" ht="16.5" x14ac:dyDescent="0.3">
      <c r="A244" s="105" t="s">
        <v>513</v>
      </c>
      <c r="B244" s="93" t="s">
        <v>514</v>
      </c>
      <c r="C244" s="94" t="s">
        <v>65</v>
      </c>
      <c r="D244" s="95">
        <v>11</v>
      </c>
    </row>
    <row r="245" spans="1:4" ht="16.5" x14ac:dyDescent="0.3">
      <c r="A245" s="105" t="s">
        <v>515</v>
      </c>
      <c r="B245" s="93" t="s">
        <v>516</v>
      </c>
      <c r="C245" s="94" t="s">
        <v>65</v>
      </c>
      <c r="D245" s="95">
        <v>10</v>
      </c>
    </row>
    <row r="246" spans="1:4" ht="16.5" x14ac:dyDescent="0.3">
      <c r="A246" s="105" t="s">
        <v>517</v>
      </c>
      <c r="B246" s="93" t="s">
        <v>518</v>
      </c>
      <c r="C246" s="94" t="s">
        <v>37</v>
      </c>
      <c r="D246" s="95">
        <v>18</v>
      </c>
    </row>
    <row r="247" spans="1:4" ht="16.5" x14ac:dyDescent="0.3">
      <c r="A247" s="105" t="s">
        <v>519</v>
      </c>
      <c r="B247" s="93" t="s">
        <v>520</v>
      </c>
      <c r="C247" s="94" t="s">
        <v>37</v>
      </c>
      <c r="D247" s="95">
        <v>1.6</v>
      </c>
    </row>
    <row r="248" spans="1:4" ht="16.5" x14ac:dyDescent="0.3">
      <c r="A248" s="105" t="s">
        <v>521</v>
      </c>
      <c r="B248" s="93" t="s">
        <v>522</v>
      </c>
      <c r="C248" s="94" t="s">
        <v>65</v>
      </c>
      <c r="D248" s="95">
        <v>10.8</v>
      </c>
    </row>
    <row r="249" spans="1:4" ht="16.5" x14ac:dyDescent="0.3">
      <c r="A249" s="105" t="s">
        <v>523</v>
      </c>
      <c r="B249" s="93" t="s">
        <v>524</v>
      </c>
      <c r="C249" s="94" t="s">
        <v>65</v>
      </c>
      <c r="D249" s="95">
        <v>5.5</v>
      </c>
    </row>
    <row r="250" spans="1:4" ht="16.5" x14ac:dyDescent="0.3">
      <c r="A250" s="105" t="s">
        <v>525</v>
      </c>
      <c r="B250" s="93" t="s">
        <v>526</v>
      </c>
      <c r="C250" s="94" t="s">
        <v>65</v>
      </c>
      <c r="D250" s="95">
        <v>7</v>
      </c>
    </row>
    <row r="251" spans="1:4" ht="16.5" x14ac:dyDescent="0.3">
      <c r="A251" s="105" t="s">
        <v>527</v>
      </c>
      <c r="B251" s="93" t="s">
        <v>528</v>
      </c>
      <c r="C251" s="94" t="s">
        <v>65</v>
      </c>
      <c r="D251" s="95">
        <v>8</v>
      </c>
    </row>
    <row r="252" spans="1:4" ht="16.5" x14ac:dyDescent="0.3">
      <c r="A252" s="105" t="s">
        <v>529</v>
      </c>
      <c r="B252" s="93" t="s">
        <v>530</v>
      </c>
      <c r="C252" s="94" t="s">
        <v>65</v>
      </c>
      <c r="D252" s="95">
        <v>21</v>
      </c>
    </row>
    <row r="253" spans="1:4" ht="16.5" x14ac:dyDescent="0.3">
      <c r="A253" s="105" t="s">
        <v>531</v>
      </c>
      <c r="B253" s="93" t="s">
        <v>532</v>
      </c>
      <c r="C253" s="94" t="s">
        <v>65</v>
      </c>
      <c r="D253" s="95">
        <v>8</v>
      </c>
    </row>
    <row r="254" spans="1:4" ht="16.5" x14ac:dyDescent="0.3">
      <c r="A254" s="105" t="s">
        <v>533</v>
      </c>
      <c r="B254" s="93" t="s">
        <v>534</v>
      </c>
      <c r="C254" s="94" t="s">
        <v>65</v>
      </c>
      <c r="D254" s="95">
        <v>28</v>
      </c>
    </row>
    <row r="255" spans="1:4" ht="16.5" x14ac:dyDescent="0.3">
      <c r="A255" s="105" t="s">
        <v>535</v>
      </c>
      <c r="B255" s="93" t="s">
        <v>536</v>
      </c>
      <c r="C255" s="94" t="s">
        <v>65</v>
      </c>
      <c r="D255" s="95">
        <v>6.7</v>
      </c>
    </row>
    <row r="256" spans="1:4" ht="16.5" x14ac:dyDescent="0.3">
      <c r="A256" s="105" t="s">
        <v>537</v>
      </c>
      <c r="B256" s="93" t="s">
        <v>538</v>
      </c>
      <c r="C256" s="94" t="s">
        <v>37</v>
      </c>
      <c r="D256" s="95">
        <v>22</v>
      </c>
    </row>
    <row r="257" spans="1:4" ht="16.5" x14ac:dyDescent="0.3">
      <c r="A257" s="105" t="s">
        <v>539</v>
      </c>
      <c r="B257" s="93" t="s">
        <v>540</v>
      </c>
      <c r="C257" s="94" t="s">
        <v>65</v>
      </c>
      <c r="D257" s="95">
        <v>10</v>
      </c>
    </row>
    <row r="258" spans="1:4" ht="16.5" x14ac:dyDescent="0.3">
      <c r="A258" s="105" t="s">
        <v>541</v>
      </c>
      <c r="B258" s="93" t="s">
        <v>542</v>
      </c>
      <c r="C258" s="94" t="s">
        <v>65</v>
      </c>
      <c r="D258" s="95">
        <v>6</v>
      </c>
    </row>
    <row r="259" spans="1:4" ht="16.5" x14ac:dyDescent="0.3">
      <c r="A259" s="105" t="s">
        <v>543</v>
      </c>
      <c r="B259" s="93"/>
      <c r="C259" s="94"/>
      <c r="D259" s="109"/>
    </row>
    <row r="260" spans="1:4" ht="17.25" thickBot="1" x14ac:dyDescent="0.35">
      <c r="A260" s="195" t="s">
        <v>544</v>
      </c>
      <c r="B260" s="196"/>
      <c r="C260" s="94"/>
      <c r="D260" s="101"/>
    </row>
    <row r="261" spans="1:4" ht="17.25" thickBot="1" x14ac:dyDescent="0.35">
      <c r="A261" s="84">
        <v>9</v>
      </c>
      <c r="B261" s="85" t="s">
        <v>545</v>
      </c>
      <c r="C261" s="102"/>
      <c r="D261" s="106"/>
    </row>
    <row r="262" spans="1:4" ht="16.5" x14ac:dyDescent="0.3">
      <c r="A262" s="110" t="s">
        <v>546</v>
      </c>
      <c r="B262" s="111" t="s">
        <v>547</v>
      </c>
      <c r="C262" s="112" t="s">
        <v>65</v>
      </c>
      <c r="D262" s="95">
        <v>41</v>
      </c>
    </row>
    <row r="263" spans="1:4" ht="16.5" x14ac:dyDescent="0.3">
      <c r="A263" s="110" t="s">
        <v>548</v>
      </c>
      <c r="B263" s="111" t="s">
        <v>549</v>
      </c>
      <c r="C263" s="112" t="s">
        <v>65</v>
      </c>
      <c r="D263" s="95">
        <v>34.5</v>
      </c>
    </row>
    <row r="264" spans="1:4" ht="16.5" x14ac:dyDescent="0.3">
      <c r="A264" s="110" t="s">
        <v>550</v>
      </c>
      <c r="B264" s="111" t="s">
        <v>551</v>
      </c>
      <c r="C264" s="112" t="s">
        <v>39</v>
      </c>
      <c r="D264" s="95">
        <v>12</v>
      </c>
    </row>
    <row r="265" spans="1:4" ht="16.5" x14ac:dyDescent="0.3">
      <c r="A265" s="110" t="s">
        <v>552</v>
      </c>
      <c r="B265" s="111" t="s">
        <v>553</v>
      </c>
      <c r="C265" s="112" t="s">
        <v>39</v>
      </c>
      <c r="D265" s="95">
        <v>21</v>
      </c>
    </row>
    <row r="266" spans="1:4" ht="16.5" x14ac:dyDescent="0.3">
      <c r="A266" s="110" t="s">
        <v>554</v>
      </c>
      <c r="B266" s="89" t="s">
        <v>555</v>
      </c>
      <c r="C266" s="90" t="s">
        <v>34</v>
      </c>
      <c r="D266" s="95">
        <v>70.64</v>
      </c>
    </row>
    <row r="267" spans="1:4" ht="16.5" x14ac:dyDescent="0.3">
      <c r="A267" s="110" t="s">
        <v>556</v>
      </c>
      <c r="B267" s="93" t="s">
        <v>557</v>
      </c>
      <c r="C267" s="94" t="s">
        <v>37</v>
      </c>
      <c r="D267" s="95">
        <v>28</v>
      </c>
    </row>
    <row r="268" spans="1:4" ht="16.5" x14ac:dyDescent="0.3">
      <c r="A268" s="110" t="s">
        <v>558</v>
      </c>
      <c r="B268" s="93" t="s">
        <v>559</v>
      </c>
      <c r="C268" s="94" t="s">
        <v>37</v>
      </c>
      <c r="D268" s="95">
        <v>28</v>
      </c>
    </row>
    <row r="269" spans="1:4" ht="16.5" x14ac:dyDescent="0.3">
      <c r="A269" s="110" t="s">
        <v>560</v>
      </c>
      <c r="B269" s="93" t="s">
        <v>561</v>
      </c>
      <c r="C269" s="94" t="s">
        <v>65</v>
      </c>
      <c r="D269" s="95">
        <v>18</v>
      </c>
    </row>
    <row r="270" spans="1:4" ht="16.5" x14ac:dyDescent="0.3">
      <c r="A270" s="110" t="s">
        <v>562</v>
      </c>
      <c r="B270" s="93" t="s">
        <v>563</v>
      </c>
      <c r="C270" s="94" t="s">
        <v>65</v>
      </c>
      <c r="D270" s="95">
        <v>27</v>
      </c>
    </row>
    <row r="271" spans="1:4" ht="16.5" x14ac:dyDescent="0.3">
      <c r="A271" s="110" t="s">
        <v>564</v>
      </c>
      <c r="B271" s="93" t="s">
        <v>565</v>
      </c>
      <c r="C271" s="94" t="s">
        <v>37</v>
      </c>
      <c r="D271" s="95">
        <v>6</v>
      </c>
    </row>
    <row r="272" spans="1:4" ht="16.5" x14ac:dyDescent="0.3">
      <c r="A272" s="110" t="s">
        <v>566</v>
      </c>
      <c r="B272" s="93" t="s">
        <v>567</v>
      </c>
      <c r="C272" s="94" t="s">
        <v>37</v>
      </c>
      <c r="D272" s="95">
        <v>2</v>
      </c>
    </row>
    <row r="273" spans="1:4" ht="16.5" x14ac:dyDescent="0.3">
      <c r="A273" s="110" t="s">
        <v>568</v>
      </c>
      <c r="B273" s="93" t="s">
        <v>569</v>
      </c>
      <c r="C273" s="94" t="s">
        <v>35</v>
      </c>
      <c r="D273" s="95">
        <v>12.5</v>
      </c>
    </row>
    <row r="274" spans="1:4" ht="16.5" x14ac:dyDescent="0.3">
      <c r="A274" s="110" t="s">
        <v>570</v>
      </c>
      <c r="B274" s="93" t="s">
        <v>571</v>
      </c>
      <c r="C274" s="113" t="s">
        <v>38</v>
      </c>
      <c r="D274" s="95">
        <v>8</v>
      </c>
    </row>
    <row r="275" spans="1:4" ht="16.5" x14ac:dyDescent="0.3">
      <c r="A275" s="110" t="s">
        <v>572</v>
      </c>
      <c r="B275" s="93" t="s">
        <v>573</v>
      </c>
      <c r="C275" s="94" t="s">
        <v>38</v>
      </c>
      <c r="D275" s="95">
        <v>187</v>
      </c>
    </row>
    <row r="276" spans="1:4" ht="16.5" x14ac:dyDescent="0.3">
      <c r="A276" s="110" t="s">
        <v>574</v>
      </c>
      <c r="B276" s="93" t="s">
        <v>575</v>
      </c>
      <c r="C276" s="94" t="s">
        <v>38</v>
      </c>
      <c r="D276" s="95">
        <v>187</v>
      </c>
    </row>
    <row r="277" spans="1:4" ht="16.5" x14ac:dyDescent="0.3">
      <c r="A277" s="110" t="s">
        <v>576</v>
      </c>
      <c r="B277" s="93" t="s">
        <v>577</v>
      </c>
      <c r="C277" s="94" t="s">
        <v>38</v>
      </c>
      <c r="D277" s="95">
        <v>137</v>
      </c>
    </row>
    <row r="278" spans="1:4" ht="16.5" x14ac:dyDescent="0.3">
      <c r="A278" s="110" t="s">
        <v>578</v>
      </c>
      <c r="B278" s="93" t="s">
        <v>579</v>
      </c>
      <c r="C278" s="94" t="s">
        <v>38</v>
      </c>
      <c r="D278" s="95">
        <v>145</v>
      </c>
    </row>
    <row r="279" spans="1:4" ht="16.5" x14ac:dyDescent="0.3">
      <c r="A279" s="110" t="s">
        <v>580</v>
      </c>
      <c r="B279" s="93" t="s">
        <v>581</v>
      </c>
      <c r="C279" s="94" t="s">
        <v>38</v>
      </c>
      <c r="D279" s="95">
        <v>145</v>
      </c>
    </row>
    <row r="280" spans="1:4" ht="16.5" x14ac:dyDescent="0.3">
      <c r="A280" s="110" t="s">
        <v>582</v>
      </c>
      <c r="B280" s="93" t="s">
        <v>583</v>
      </c>
      <c r="C280" s="94" t="s">
        <v>38</v>
      </c>
      <c r="D280" s="95">
        <v>30</v>
      </c>
    </row>
    <row r="281" spans="1:4" ht="16.5" x14ac:dyDescent="0.3">
      <c r="A281" s="110" t="s">
        <v>584</v>
      </c>
      <c r="B281" s="93" t="s">
        <v>585</v>
      </c>
      <c r="C281" s="94" t="s">
        <v>38</v>
      </c>
      <c r="D281" s="95">
        <v>132</v>
      </c>
    </row>
    <row r="282" spans="1:4" ht="16.5" x14ac:dyDescent="0.3">
      <c r="A282" s="110" t="s">
        <v>586</v>
      </c>
      <c r="B282" s="93" t="s">
        <v>587</v>
      </c>
      <c r="C282" s="94" t="s">
        <v>38</v>
      </c>
      <c r="D282" s="95">
        <v>185</v>
      </c>
    </row>
    <row r="283" spans="1:4" ht="16.5" x14ac:dyDescent="0.3">
      <c r="A283" s="110" t="s">
        <v>588</v>
      </c>
      <c r="B283" s="93" t="s">
        <v>589</v>
      </c>
      <c r="C283" s="94" t="s">
        <v>38</v>
      </c>
      <c r="D283" s="95">
        <v>198</v>
      </c>
    </row>
    <row r="284" spans="1:4" ht="16.5" x14ac:dyDescent="0.3">
      <c r="A284" s="110" t="s">
        <v>590</v>
      </c>
      <c r="B284" s="93" t="s">
        <v>591</v>
      </c>
      <c r="C284" s="94" t="s">
        <v>37</v>
      </c>
      <c r="D284" s="95">
        <v>4.7</v>
      </c>
    </row>
    <row r="285" spans="1:4" ht="16.5" x14ac:dyDescent="0.3">
      <c r="A285" s="110" t="s">
        <v>592</v>
      </c>
      <c r="B285" s="93" t="s">
        <v>593</v>
      </c>
      <c r="C285" s="94" t="s">
        <v>37</v>
      </c>
      <c r="D285" s="95">
        <v>5.26</v>
      </c>
    </row>
    <row r="286" spans="1:4" ht="16.5" x14ac:dyDescent="0.3">
      <c r="A286" s="110" t="s">
        <v>594</v>
      </c>
      <c r="B286" s="93" t="s">
        <v>595</v>
      </c>
      <c r="C286" s="94" t="s">
        <v>37</v>
      </c>
      <c r="D286" s="95">
        <v>6</v>
      </c>
    </row>
    <row r="287" spans="1:4" ht="16.5" x14ac:dyDescent="0.3">
      <c r="A287" s="110" t="s">
        <v>596</v>
      </c>
      <c r="B287" s="93" t="s">
        <v>597</v>
      </c>
      <c r="C287" s="94" t="s">
        <v>37</v>
      </c>
      <c r="D287" s="95">
        <v>6</v>
      </c>
    </row>
    <row r="288" spans="1:4" ht="16.5" x14ac:dyDescent="0.3">
      <c r="A288" s="110" t="s">
        <v>598</v>
      </c>
      <c r="B288" s="93" t="s">
        <v>599</v>
      </c>
      <c r="C288" s="94" t="s">
        <v>37</v>
      </c>
      <c r="D288" s="95">
        <v>1.8</v>
      </c>
    </row>
    <row r="289" spans="1:4" ht="16.5" x14ac:dyDescent="0.3">
      <c r="A289" s="110" t="s">
        <v>600</v>
      </c>
      <c r="B289" s="93" t="s">
        <v>601</v>
      </c>
      <c r="C289" s="94" t="s">
        <v>35</v>
      </c>
      <c r="D289" s="95">
        <v>18</v>
      </c>
    </row>
    <row r="290" spans="1:4" ht="16.5" x14ac:dyDescent="0.3">
      <c r="A290" s="110" t="s">
        <v>602</v>
      </c>
      <c r="B290" s="93" t="s">
        <v>603</v>
      </c>
      <c r="C290" s="94" t="s">
        <v>37</v>
      </c>
      <c r="D290" s="95"/>
    </row>
    <row r="291" spans="1:4" ht="16.5" x14ac:dyDescent="0.3">
      <c r="A291" s="110" t="s">
        <v>604</v>
      </c>
      <c r="B291" s="93" t="s">
        <v>605</v>
      </c>
      <c r="C291" s="94" t="s">
        <v>65</v>
      </c>
      <c r="D291" s="95">
        <v>19.2</v>
      </c>
    </row>
    <row r="292" spans="1:4" ht="16.5" x14ac:dyDescent="0.3">
      <c r="A292" s="110" t="s">
        <v>606</v>
      </c>
      <c r="B292" s="93" t="s">
        <v>607</v>
      </c>
      <c r="C292" s="94" t="s">
        <v>38</v>
      </c>
      <c r="D292" s="95">
        <v>180</v>
      </c>
    </row>
    <row r="293" spans="1:4" ht="16.5" x14ac:dyDescent="0.3">
      <c r="A293" s="110" t="s">
        <v>608</v>
      </c>
      <c r="B293" s="93" t="s">
        <v>609</v>
      </c>
      <c r="C293" s="94" t="s">
        <v>65</v>
      </c>
      <c r="D293" s="95">
        <v>19.2</v>
      </c>
    </row>
    <row r="294" spans="1:4" ht="16.5" x14ac:dyDescent="0.3">
      <c r="A294" s="110" t="s">
        <v>610</v>
      </c>
      <c r="B294" s="93" t="s">
        <v>611</v>
      </c>
      <c r="C294" s="94" t="s">
        <v>65</v>
      </c>
      <c r="D294" s="95">
        <v>61</v>
      </c>
    </row>
    <row r="295" spans="1:4" ht="16.5" x14ac:dyDescent="0.3">
      <c r="A295" s="110" t="s">
        <v>612</v>
      </c>
      <c r="B295" s="93" t="s">
        <v>613</v>
      </c>
      <c r="C295" s="94" t="s">
        <v>35</v>
      </c>
      <c r="D295" s="95">
        <v>13.5</v>
      </c>
    </row>
    <row r="296" spans="1:4" ht="16.5" x14ac:dyDescent="0.3">
      <c r="A296" s="110" t="s">
        <v>614</v>
      </c>
      <c r="B296" s="93" t="s">
        <v>615</v>
      </c>
      <c r="C296" s="94" t="s">
        <v>37</v>
      </c>
      <c r="D296" s="95">
        <v>42</v>
      </c>
    </row>
    <row r="297" spans="1:4" ht="16.5" x14ac:dyDescent="0.3">
      <c r="A297" s="110" t="s">
        <v>616</v>
      </c>
      <c r="B297" s="93" t="s">
        <v>617</v>
      </c>
      <c r="C297" s="94" t="s">
        <v>65</v>
      </c>
      <c r="D297" s="95">
        <v>15</v>
      </c>
    </row>
    <row r="298" spans="1:4" ht="17.25" thickBot="1" x14ac:dyDescent="0.35">
      <c r="A298" s="195" t="s">
        <v>618</v>
      </c>
      <c r="B298" s="196"/>
      <c r="C298" s="94"/>
      <c r="D298" s="101"/>
    </row>
    <row r="299" spans="1:4" ht="17.25" thickBot="1" x14ac:dyDescent="0.35">
      <c r="A299" s="114">
        <v>10</v>
      </c>
      <c r="B299" s="115" t="s">
        <v>619</v>
      </c>
      <c r="C299" s="102"/>
      <c r="D299" s="106"/>
    </row>
    <row r="300" spans="1:4" ht="16.5" x14ac:dyDescent="0.3">
      <c r="A300" s="110" t="s">
        <v>620</v>
      </c>
      <c r="B300" s="111" t="s">
        <v>621</v>
      </c>
      <c r="C300" s="112" t="s">
        <v>56</v>
      </c>
      <c r="D300" s="95">
        <v>10</v>
      </c>
    </row>
    <row r="301" spans="1:4" ht="16.5" x14ac:dyDescent="0.3">
      <c r="A301" s="116" t="s">
        <v>622</v>
      </c>
      <c r="B301" s="93" t="s">
        <v>623</v>
      </c>
      <c r="C301" s="94" t="s">
        <v>37</v>
      </c>
      <c r="D301" s="95">
        <v>8</v>
      </c>
    </row>
    <row r="302" spans="1:4" ht="16.5" x14ac:dyDescent="0.3">
      <c r="A302" s="116" t="s">
        <v>624</v>
      </c>
      <c r="B302" s="93" t="s">
        <v>625</v>
      </c>
      <c r="C302" s="94" t="s">
        <v>37</v>
      </c>
      <c r="D302" s="95">
        <v>15</v>
      </c>
    </row>
    <row r="303" spans="1:4" ht="16.5" x14ac:dyDescent="0.3">
      <c r="A303" s="116" t="s">
        <v>626</v>
      </c>
      <c r="B303" s="93" t="s">
        <v>627</v>
      </c>
      <c r="C303" s="94" t="s">
        <v>37</v>
      </c>
      <c r="D303" s="95">
        <v>15</v>
      </c>
    </row>
    <row r="304" spans="1:4" ht="16.5" x14ac:dyDescent="0.3">
      <c r="A304" s="116" t="s">
        <v>628</v>
      </c>
      <c r="B304" s="93" t="s">
        <v>629</v>
      </c>
      <c r="C304" s="94" t="s">
        <v>37</v>
      </c>
      <c r="D304" s="95">
        <v>21</v>
      </c>
    </row>
    <row r="305" spans="1:4" ht="16.5" x14ac:dyDescent="0.3">
      <c r="A305" s="116" t="s">
        <v>630</v>
      </c>
      <c r="B305" s="93" t="s">
        <v>631</v>
      </c>
      <c r="C305" s="94" t="s">
        <v>37</v>
      </c>
      <c r="D305" s="95">
        <v>21</v>
      </c>
    </row>
    <row r="306" spans="1:4" ht="16.5" x14ac:dyDescent="0.3">
      <c r="A306" s="116" t="s">
        <v>632</v>
      </c>
      <c r="B306" s="93" t="s">
        <v>633</v>
      </c>
      <c r="C306" s="94" t="s">
        <v>37</v>
      </c>
      <c r="D306" s="95">
        <v>12</v>
      </c>
    </row>
    <row r="307" spans="1:4" ht="17.25" thickBot="1" x14ac:dyDescent="0.35">
      <c r="A307" s="195" t="s">
        <v>634</v>
      </c>
      <c r="B307" s="196"/>
      <c r="C307" s="94"/>
      <c r="D307" s="101"/>
    </row>
    <row r="308" spans="1:4" ht="17.25" thickBot="1" x14ac:dyDescent="0.35">
      <c r="A308" s="117">
        <v>11</v>
      </c>
      <c r="B308" s="115" t="s">
        <v>635</v>
      </c>
      <c r="C308" s="102"/>
      <c r="D308" s="106"/>
    </row>
    <row r="309" spans="1:4" ht="16.5" x14ac:dyDescent="0.3">
      <c r="A309" s="110" t="s">
        <v>636</v>
      </c>
      <c r="B309" s="111" t="s">
        <v>637</v>
      </c>
      <c r="C309" s="112" t="s">
        <v>37</v>
      </c>
      <c r="D309" s="95">
        <v>13</v>
      </c>
    </row>
    <row r="310" spans="1:4" ht="16.5" x14ac:dyDescent="0.3">
      <c r="A310" s="110" t="s">
        <v>638</v>
      </c>
      <c r="B310" s="93" t="s">
        <v>639</v>
      </c>
      <c r="C310" s="94" t="s">
        <v>37</v>
      </c>
      <c r="D310" s="95">
        <v>25</v>
      </c>
    </row>
    <row r="311" spans="1:4" ht="16.5" x14ac:dyDescent="0.3">
      <c r="A311" s="110" t="s">
        <v>640</v>
      </c>
      <c r="B311" s="93" t="s">
        <v>641</v>
      </c>
      <c r="C311" s="94" t="s">
        <v>65</v>
      </c>
      <c r="D311" s="99">
        <v>18</v>
      </c>
    </row>
    <row r="312" spans="1:4" ht="16.5" x14ac:dyDescent="0.3">
      <c r="A312" s="118" t="s">
        <v>642</v>
      </c>
      <c r="B312" s="96" t="s">
        <v>643</v>
      </c>
      <c r="C312" s="97" t="s">
        <v>65</v>
      </c>
      <c r="D312" s="98">
        <v>5.4</v>
      </c>
    </row>
    <row r="313" spans="1:4" ht="16.5" x14ac:dyDescent="0.3">
      <c r="A313" s="110" t="s">
        <v>644</v>
      </c>
      <c r="B313" s="93" t="s">
        <v>645</v>
      </c>
      <c r="C313" s="94" t="s">
        <v>65</v>
      </c>
      <c r="D313" s="95">
        <v>2.0699999999999998</v>
      </c>
    </row>
    <row r="314" spans="1:4" ht="16.5" x14ac:dyDescent="0.3">
      <c r="A314" s="110" t="s">
        <v>646</v>
      </c>
      <c r="B314" s="93" t="s">
        <v>647</v>
      </c>
      <c r="C314" s="94" t="s">
        <v>65</v>
      </c>
      <c r="D314" s="95">
        <v>5.4</v>
      </c>
    </row>
    <row r="315" spans="1:4" ht="16.5" x14ac:dyDescent="0.3">
      <c r="A315" s="110" t="s">
        <v>648</v>
      </c>
      <c r="B315" s="93" t="s">
        <v>649</v>
      </c>
      <c r="C315" s="94" t="s">
        <v>37</v>
      </c>
      <c r="D315" s="95">
        <v>10</v>
      </c>
    </row>
    <row r="316" spans="1:4" ht="16.5" x14ac:dyDescent="0.3">
      <c r="A316" s="110" t="s">
        <v>650</v>
      </c>
      <c r="B316" s="93" t="s">
        <v>605</v>
      </c>
      <c r="C316" s="94" t="s">
        <v>37</v>
      </c>
      <c r="D316" s="95">
        <v>20</v>
      </c>
    </row>
    <row r="317" spans="1:4" ht="16.5" x14ac:dyDescent="0.3">
      <c r="A317" s="110" t="s">
        <v>651</v>
      </c>
      <c r="B317" s="93" t="s">
        <v>652</v>
      </c>
      <c r="C317" s="94" t="s">
        <v>37</v>
      </c>
      <c r="D317" s="95">
        <v>4.5</v>
      </c>
    </row>
    <row r="318" spans="1:4" ht="16.5" x14ac:dyDescent="0.3">
      <c r="A318" s="110" t="s">
        <v>653</v>
      </c>
      <c r="B318" s="93" t="s">
        <v>654</v>
      </c>
      <c r="C318" s="94" t="s">
        <v>37</v>
      </c>
      <c r="D318" s="95">
        <v>4.5</v>
      </c>
    </row>
    <row r="319" spans="1:4" ht="16.5" x14ac:dyDescent="0.3">
      <c r="A319" s="110" t="s">
        <v>655</v>
      </c>
      <c r="B319" s="93" t="s">
        <v>656</v>
      </c>
      <c r="C319" s="94" t="s">
        <v>37</v>
      </c>
      <c r="D319" s="95">
        <v>7.5</v>
      </c>
    </row>
    <row r="320" spans="1:4" ht="16.5" x14ac:dyDescent="0.3">
      <c r="A320" s="110" t="s">
        <v>657</v>
      </c>
      <c r="B320" s="93" t="s">
        <v>658</v>
      </c>
      <c r="C320" s="94" t="s">
        <v>65</v>
      </c>
      <c r="D320" s="95">
        <v>10</v>
      </c>
    </row>
    <row r="321" spans="1:4" ht="16.5" x14ac:dyDescent="0.3">
      <c r="A321" s="110" t="s">
        <v>659</v>
      </c>
      <c r="B321" s="93" t="s">
        <v>660</v>
      </c>
      <c r="C321" s="94" t="s">
        <v>65</v>
      </c>
      <c r="D321" s="95">
        <v>12</v>
      </c>
    </row>
    <row r="322" spans="1:4" ht="16.5" x14ac:dyDescent="0.3">
      <c r="A322" s="110" t="s">
        <v>661</v>
      </c>
      <c r="B322" s="93" t="s">
        <v>662</v>
      </c>
      <c r="C322" s="94" t="s">
        <v>65</v>
      </c>
      <c r="D322" s="99">
        <v>130</v>
      </c>
    </row>
    <row r="323" spans="1:4" ht="16.5" x14ac:dyDescent="0.3">
      <c r="A323" s="110" t="s">
        <v>663</v>
      </c>
      <c r="B323" s="93" t="s">
        <v>664</v>
      </c>
      <c r="C323" s="94" t="s">
        <v>65</v>
      </c>
      <c r="D323" s="95">
        <v>28</v>
      </c>
    </row>
    <row r="324" spans="1:4" ht="16.5" x14ac:dyDescent="0.3">
      <c r="A324" s="110" t="s">
        <v>665</v>
      </c>
      <c r="B324" s="93" t="s">
        <v>666</v>
      </c>
      <c r="C324" s="94" t="s">
        <v>65</v>
      </c>
      <c r="D324" s="95"/>
    </row>
    <row r="325" spans="1:4" ht="16.5" x14ac:dyDescent="0.3">
      <c r="A325" s="110" t="s">
        <v>667</v>
      </c>
      <c r="B325" s="93" t="s">
        <v>668</v>
      </c>
      <c r="C325" s="94" t="s">
        <v>39</v>
      </c>
      <c r="D325" s="95">
        <v>15</v>
      </c>
    </row>
    <row r="326" spans="1:4" ht="17.25" thickBot="1" x14ac:dyDescent="0.35">
      <c r="A326" s="195" t="s">
        <v>669</v>
      </c>
      <c r="B326" s="196"/>
      <c r="C326" s="94"/>
      <c r="D326" s="101"/>
    </row>
    <row r="327" spans="1:4" ht="17.25" thickBot="1" x14ac:dyDescent="0.35">
      <c r="A327" s="117">
        <v>12</v>
      </c>
      <c r="B327" s="115" t="s">
        <v>670</v>
      </c>
      <c r="C327" s="102"/>
      <c r="D327" s="106"/>
    </row>
    <row r="328" spans="1:4" ht="16.5" x14ac:dyDescent="0.3">
      <c r="A328" s="105" t="s">
        <v>671</v>
      </c>
      <c r="B328" s="93" t="s">
        <v>672</v>
      </c>
      <c r="C328" s="94" t="s">
        <v>35</v>
      </c>
      <c r="D328" s="95">
        <v>7</v>
      </c>
    </row>
    <row r="329" spans="1:4" ht="16.5" x14ac:dyDescent="0.3">
      <c r="A329" s="105" t="s">
        <v>673</v>
      </c>
      <c r="B329" s="93" t="s">
        <v>674</v>
      </c>
      <c r="C329" s="94" t="s">
        <v>65</v>
      </c>
      <c r="D329" s="95">
        <v>8</v>
      </c>
    </row>
    <row r="330" spans="1:4" ht="16.5" x14ac:dyDescent="0.3">
      <c r="A330" s="105" t="s">
        <v>675</v>
      </c>
      <c r="B330" s="93" t="s">
        <v>676</v>
      </c>
      <c r="C330" s="94" t="s">
        <v>65</v>
      </c>
      <c r="D330" s="95">
        <v>8</v>
      </c>
    </row>
    <row r="331" spans="1:4" ht="16.5" x14ac:dyDescent="0.3">
      <c r="A331" s="105" t="s">
        <v>677</v>
      </c>
      <c r="B331" s="93" t="s">
        <v>678</v>
      </c>
      <c r="C331" s="94" t="s">
        <v>65</v>
      </c>
      <c r="D331" s="95">
        <v>8</v>
      </c>
    </row>
    <row r="332" spans="1:4" ht="16.5" x14ac:dyDescent="0.3">
      <c r="A332" s="105" t="s">
        <v>679</v>
      </c>
      <c r="B332" s="93" t="s">
        <v>680</v>
      </c>
      <c r="C332" s="94" t="s">
        <v>65</v>
      </c>
      <c r="D332" s="95">
        <v>14</v>
      </c>
    </row>
    <row r="333" spans="1:4" ht="16.5" x14ac:dyDescent="0.3">
      <c r="A333" s="105" t="s">
        <v>681</v>
      </c>
      <c r="B333" s="93" t="s">
        <v>682</v>
      </c>
      <c r="C333" s="94" t="s">
        <v>65</v>
      </c>
      <c r="D333" s="95">
        <v>6</v>
      </c>
    </row>
    <row r="334" spans="1:4" ht="16.5" x14ac:dyDescent="0.3">
      <c r="A334" s="105" t="s">
        <v>683</v>
      </c>
      <c r="B334" s="93" t="s">
        <v>684</v>
      </c>
      <c r="C334" s="94" t="s">
        <v>65</v>
      </c>
      <c r="D334" s="95">
        <v>8</v>
      </c>
    </row>
    <row r="335" spans="1:4" ht="16.5" x14ac:dyDescent="0.3">
      <c r="A335" s="105" t="s">
        <v>685</v>
      </c>
      <c r="B335" s="93" t="s">
        <v>686</v>
      </c>
      <c r="C335" s="94" t="s">
        <v>65</v>
      </c>
      <c r="D335" s="95">
        <v>8</v>
      </c>
    </row>
    <row r="336" spans="1:4" ht="16.5" x14ac:dyDescent="0.3">
      <c r="A336" s="105" t="s">
        <v>687</v>
      </c>
      <c r="B336" s="93" t="s">
        <v>688</v>
      </c>
      <c r="C336" s="94" t="s">
        <v>65</v>
      </c>
      <c r="D336" s="95">
        <v>6</v>
      </c>
    </row>
    <row r="337" spans="1:4" ht="16.5" x14ac:dyDescent="0.3">
      <c r="A337" s="105" t="s">
        <v>689</v>
      </c>
      <c r="B337" s="93" t="s">
        <v>690</v>
      </c>
      <c r="C337" s="94" t="s">
        <v>65</v>
      </c>
      <c r="D337" s="95">
        <v>6</v>
      </c>
    </row>
    <row r="338" spans="1:4" ht="16.5" x14ac:dyDescent="0.3">
      <c r="A338" s="105" t="s">
        <v>691</v>
      </c>
      <c r="B338" s="93" t="s">
        <v>692</v>
      </c>
      <c r="C338" s="94" t="s">
        <v>65</v>
      </c>
      <c r="D338" s="95">
        <v>6</v>
      </c>
    </row>
    <row r="339" spans="1:4" ht="16.5" x14ac:dyDescent="0.3">
      <c r="A339" s="105" t="s">
        <v>693</v>
      </c>
      <c r="B339" s="93" t="s">
        <v>694</v>
      </c>
      <c r="C339" s="94" t="s">
        <v>65</v>
      </c>
      <c r="D339" s="95">
        <v>6</v>
      </c>
    </row>
    <row r="340" spans="1:4" ht="17.25" thickBot="1" x14ac:dyDescent="0.35">
      <c r="A340" s="195" t="s">
        <v>695</v>
      </c>
      <c r="B340" s="196"/>
      <c r="C340" s="94"/>
      <c r="D340" s="101"/>
    </row>
    <row r="341" spans="1:4" ht="17.25" thickBot="1" x14ac:dyDescent="0.35">
      <c r="A341" s="117">
        <v>13</v>
      </c>
      <c r="B341" s="115" t="s">
        <v>696</v>
      </c>
      <c r="C341" s="102"/>
      <c r="D341" s="106"/>
    </row>
    <row r="342" spans="1:4" ht="16.5" x14ac:dyDescent="0.3">
      <c r="A342" s="105" t="s">
        <v>697</v>
      </c>
      <c r="B342" s="93" t="s">
        <v>698</v>
      </c>
      <c r="C342" s="94" t="s">
        <v>65</v>
      </c>
      <c r="D342" s="95">
        <v>28</v>
      </c>
    </row>
    <row r="343" spans="1:4" ht="16.5" x14ac:dyDescent="0.3">
      <c r="A343" s="105" t="s">
        <v>699</v>
      </c>
      <c r="B343" s="93" t="s">
        <v>700</v>
      </c>
      <c r="C343" s="94" t="s">
        <v>65</v>
      </c>
      <c r="D343" s="99">
        <v>26</v>
      </c>
    </row>
    <row r="344" spans="1:4" ht="16.5" x14ac:dyDescent="0.3">
      <c r="A344" s="105" t="s">
        <v>701</v>
      </c>
      <c r="B344" s="93" t="s">
        <v>702</v>
      </c>
      <c r="C344" s="94" t="s">
        <v>65</v>
      </c>
      <c r="D344" s="95">
        <v>24</v>
      </c>
    </row>
    <row r="345" spans="1:4" ht="16.5" x14ac:dyDescent="0.3">
      <c r="A345" s="105" t="s">
        <v>703</v>
      </c>
      <c r="B345" s="93" t="s">
        <v>704</v>
      </c>
      <c r="C345" s="94" t="s">
        <v>65</v>
      </c>
      <c r="D345" s="95">
        <v>35</v>
      </c>
    </row>
    <row r="346" spans="1:4" ht="16.5" x14ac:dyDescent="0.3">
      <c r="A346" s="105" t="s">
        <v>705</v>
      </c>
      <c r="B346" s="93" t="s">
        <v>706</v>
      </c>
      <c r="C346" s="94" t="s">
        <v>65</v>
      </c>
      <c r="D346" s="99">
        <v>38</v>
      </c>
    </row>
    <row r="347" spans="1:4" ht="16.5" x14ac:dyDescent="0.3">
      <c r="A347" s="105" t="s">
        <v>707</v>
      </c>
      <c r="B347" s="93" t="s">
        <v>708</v>
      </c>
      <c r="C347" s="94" t="s">
        <v>65</v>
      </c>
      <c r="D347" s="95">
        <v>30</v>
      </c>
    </row>
    <row r="348" spans="1:4" ht="16.5" x14ac:dyDescent="0.3">
      <c r="A348" s="105" t="s">
        <v>709</v>
      </c>
      <c r="B348" s="93" t="s">
        <v>710</v>
      </c>
      <c r="C348" s="94" t="s">
        <v>65</v>
      </c>
      <c r="D348" s="95">
        <v>30</v>
      </c>
    </row>
    <row r="349" spans="1:4" ht="16.5" x14ac:dyDescent="0.3">
      <c r="A349" s="105" t="s">
        <v>711</v>
      </c>
      <c r="B349" s="93" t="s">
        <v>712</v>
      </c>
      <c r="C349" s="94" t="s">
        <v>65</v>
      </c>
      <c r="D349" s="95">
        <v>21</v>
      </c>
    </row>
    <row r="350" spans="1:4" ht="16.5" x14ac:dyDescent="0.3">
      <c r="A350" s="105" t="s">
        <v>713</v>
      </c>
      <c r="B350" s="93" t="s">
        <v>714</v>
      </c>
      <c r="C350" s="94" t="s">
        <v>65</v>
      </c>
      <c r="D350" s="99">
        <v>19</v>
      </c>
    </row>
    <row r="351" spans="1:4" ht="16.5" x14ac:dyDescent="0.3">
      <c r="A351" s="105" t="s">
        <v>715</v>
      </c>
      <c r="B351" s="93" t="s">
        <v>716</v>
      </c>
      <c r="C351" s="94" t="s">
        <v>65</v>
      </c>
      <c r="D351" s="95">
        <v>38</v>
      </c>
    </row>
    <row r="352" spans="1:4" ht="16.5" x14ac:dyDescent="0.3">
      <c r="A352" s="105" t="s">
        <v>717</v>
      </c>
      <c r="B352" s="93" t="s">
        <v>718</v>
      </c>
      <c r="C352" s="94" t="s">
        <v>65</v>
      </c>
      <c r="D352" s="95">
        <v>20</v>
      </c>
    </row>
    <row r="353" spans="1:4" ht="16.5" x14ac:dyDescent="0.3">
      <c r="A353" s="105" t="s">
        <v>719</v>
      </c>
      <c r="B353" s="93" t="s">
        <v>720</v>
      </c>
      <c r="C353" s="94" t="s">
        <v>65</v>
      </c>
      <c r="D353" s="95">
        <v>26</v>
      </c>
    </row>
    <row r="354" spans="1:4" ht="16.5" x14ac:dyDescent="0.3">
      <c r="A354" s="105" t="s">
        <v>721</v>
      </c>
      <c r="B354" s="93" t="s">
        <v>722</v>
      </c>
      <c r="C354" s="94" t="s">
        <v>65</v>
      </c>
      <c r="D354" s="99">
        <v>23</v>
      </c>
    </row>
    <row r="355" spans="1:4" ht="16.5" x14ac:dyDescent="0.3">
      <c r="A355" s="105" t="s">
        <v>723</v>
      </c>
      <c r="B355" s="93" t="s">
        <v>724</v>
      </c>
      <c r="C355" s="94" t="s">
        <v>65</v>
      </c>
      <c r="D355" s="95">
        <v>14</v>
      </c>
    </row>
    <row r="356" spans="1:4" ht="16.5" x14ac:dyDescent="0.3">
      <c r="A356" s="105" t="s">
        <v>725</v>
      </c>
      <c r="B356" s="93" t="s">
        <v>726</v>
      </c>
      <c r="C356" s="94" t="s">
        <v>65</v>
      </c>
      <c r="D356" s="95">
        <v>19</v>
      </c>
    </row>
    <row r="357" spans="1:4" ht="16.5" x14ac:dyDescent="0.3">
      <c r="A357" s="105" t="s">
        <v>727</v>
      </c>
      <c r="B357" s="93" t="s">
        <v>728</v>
      </c>
      <c r="C357" s="94" t="s">
        <v>65</v>
      </c>
      <c r="D357" s="95">
        <v>28</v>
      </c>
    </row>
    <row r="358" spans="1:4" ht="16.5" x14ac:dyDescent="0.3">
      <c r="A358" s="105" t="s">
        <v>729</v>
      </c>
      <c r="B358" s="93" t="s">
        <v>730</v>
      </c>
      <c r="C358" s="94" t="s">
        <v>65</v>
      </c>
      <c r="D358" s="95">
        <v>32</v>
      </c>
    </row>
    <row r="359" spans="1:4" ht="16.5" x14ac:dyDescent="0.3">
      <c r="A359" s="105" t="s">
        <v>731</v>
      </c>
      <c r="B359" s="93" t="s">
        <v>732</v>
      </c>
      <c r="C359" s="94" t="s">
        <v>65</v>
      </c>
      <c r="D359" s="95">
        <v>34</v>
      </c>
    </row>
    <row r="360" spans="1:4" ht="17.25" thickBot="1" x14ac:dyDescent="0.35">
      <c r="A360" s="195" t="s">
        <v>733</v>
      </c>
      <c r="B360" s="196"/>
      <c r="C360" s="94"/>
      <c r="D360" s="101"/>
    </row>
    <row r="361" spans="1:4" ht="17.25" thickBot="1" x14ac:dyDescent="0.35">
      <c r="A361" s="117">
        <v>14</v>
      </c>
      <c r="B361" s="115" t="s">
        <v>734</v>
      </c>
      <c r="C361" s="102"/>
      <c r="D361" s="106"/>
    </row>
    <row r="362" spans="1:4" ht="16.5" x14ac:dyDescent="0.3">
      <c r="A362" s="105" t="s">
        <v>735</v>
      </c>
      <c r="B362" s="93" t="s">
        <v>736</v>
      </c>
      <c r="C362" s="94" t="s">
        <v>65</v>
      </c>
      <c r="D362" s="99">
        <v>25</v>
      </c>
    </row>
    <row r="363" spans="1:4" ht="16.5" x14ac:dyDescent="0.3">
      <c r="A363" s="105" t="s">
        <v>737</v>
      </c>
      <c r="B363" s="93" t="s">
        <v>738</v>
      </c>
      <c r="C363" s="94" t="s">
        <v>65</v>
      </c>
      <c r="D363" s="99">
        <v>38</v>
      </c>
    </row>
    <row r="364" spans="1:4" ht="16.5" x14ac:dyDescent="0.3">
      <c r="A364" s="105" t="s">
        <v>739</v>
      </c>
      <c r="B364" s="93" t="s">
        <v>740</v>
      </c>
      <c r="C364" s="94" t="s">
        <v>65</v>
      </c>
      <c r="D364" s="95">
        <v>45</v>
      </c>
    </row>
    <row r="365" spans="1:4" ht="16.5" x14ac:dyDescent="0.3">
      <c r="A365" s="105" t="s">
        <v>741</v>
      </c>
      <c r="B365" s="93" t="s">
        <v>742</v>
      </c>
      <c r="C365" s="94" t="s">
        <v>65</v>
      </c>
      <c r="D365" s="95">
        <v>32</v>
      </c>
    </row>
    <row r="366" spans="1:4" ht="16.5" x14ac:dyDescent="0.3">
      <c r="A366" s="105" t="s">
        <v>743</v>
      </c>
      <c r="B366" s="93" t="s">
        <v>744</v>
      </c>
      <c r="C366" s="94" t="s">
        <v>65</v>
      </c>
      <c r="D366" s="95">
        <v>30</v>
      </c>
    </row>
    <row r="367" spans="1:4" ht="16.5" x14ac:dyDescent="0.3">
      <c r="A367" s="105" t="s">
        <v>745</v>
      </c>
      <c r="B367" s="93" t="s">
        <v>738</v>
      </c>
      <c r="C367" s="94" t="s">
        <v>65</v>
      </c>
      <c r="D367" s="99">
        <v>35</v>
      </c>
    </row>
    <row r="368" spans="1:4" ht="16.5" x14ac:dyDescent="0.3">
      <c r="A368" s="105" t="s">
        <v>746</v>
      </c>
      <c r="B368" s="93" t="s">
        <v>747</v>
      </c>
      <c r="C368" s="94" t="s">
        <v>65</v>
      </c>
      <c r="D368" s="95">
        <v>12</v>
      </c>
    </row>
    <row r="369" spans="1:4" ht="16.5" x14ac:dyDescent="0.3">
      <c r="A369" s="105" t="s">
        <v>748</v>
      </c>
      <c r="B369" s="93" t="s">
        <v>749</v>
      </c>
      <c r="C369" s="94" t="s">
        <v>65</v>
      </c>
      <c r="D369" s="95">
        <v>13</v>
      </c>
    </row>
    <row r="370" spans="1:4" ht="16.5" x14ac:dyDescent="0.3">
      <c r="A370" s="105" t="s">
        <v>750</v>
      </c>
      <c r="B370" s="93" t="s">
        <v>751</v>
      </c>
      <c r="C370" s="94" t="s">
        <v>65</v>
      </c>
      <c r="D370" s="95">
        <v>32</v>
      </c>
    </row>
    <row r="371" spans="1:4" ht="16.5" x14ac:dyDescent="0.3">
      <c r="A371" s="105" t="s">
        <v>752</v>
      </c>
      <c r="B371" s="93" t="s">
        <v>753</v>
      </c>
      <c r="C371" s="94" t="s">
        <v>65</v>
      </c>
      <c r="D371" s="95">
        <v>30</v>
      </c>
    </row>
    <row r="372" spans="1:4" ht="16.5" x14ac:dyDescent="0.3">
      <c r="A372" s="105" t="s">
        <v>754</v>
      </c>
      <c r="B372" s="93" t="s">
        <v>755</v>
      </c>
      <c r="C372" s="94" t="s">
        <v>37</v>
      </c>
      <c r="D372" s="95">
        <v>445</v>
      </c>
    </row>
    <row r="373" spans="1:4" ht="17.25" thickBot="1" x14ac:dyDescent="0.35">
      <c r="A373" s="195" t="s">
        <v>756</v>
      </c>
      <c r="B373" s="196"/>
      <c r="C373" s="94"/>
      <c r="D373" s="101"/>
    </row>
    <row r="374" spans="1:4" ht="17.25" thickBot="1" x14ac:dyDescent="0.35">
      <c r="A374" s="117">
        <v>15</v>
      </c>
      <c r="B374" s="115" t="s">
        <v>757</v>
      </c>
      <c r="C374" s="102"/>
      <c r="D374" s="106"/>
    </row>
    <row r="375" spans="1:4" ht="16.5" x14ac:dyDescent="0.3">
      <c r="A375" s="105" t="s">
        <v>758</v>
      </c>
      <c r="B375" s="93" t="s">
        <v>759</v>
      </c>
      <c r="C375" s="94" t="s">
        <v>65</v>
      </c>
      <c r="D375" s="99">
        <v>23</v>
      </c>
    </row>
    <row r="376" spans="1:4" ht="16.5" x14ac:dyDescent="0.3">
      <c r="A376" s="105" t="s">
        <v>760</v>
      </c>
      <c r="B376" s="93" t="s">
        <v>761</v>
      </c>
      <c r="C376" s="94" t="s">
        <v>65</v>
      </c>
      <c r="D376" s="99">
        <v>21</v>
      </c>
    </row>
    <row r="377" spans="1:4" ht="16.5" x14ac:dyDescent="0.3">
      <c r="A377" s="105" t="s">
        <v>762</v>
      </c>
      <c r="B377" s="93" t="s">
        <v>763</v>
      </c>
      <c r="C377" s="94" t="s">
        <v>65</v>
      </c>
      <c r="D377" s="95">
        <v>76</v>
      </c>
    </row>
    <row r="378" spans="1:4" ht="16.5" x14ac:dyDescent="0.3">
      <c r="A378" s="105" t="s">
        <v>764</v>
      </c>
      <c r="B378" s="93" t="s">
        <v>765</v>
      </c>
      <c r="C378" s="94" t="s">
        <v>65</v>
      </c>
      <c r="D378" s="95">
        <v>76</v>
      </c>
    </row>
    <row r="379" spans="1:4" ht="16.5" x14ac:dyDescent="0.3">
      <c r="A379" s="105" t="s">
        <v>766</v>
      </c>
      <c r="B379" s="93" t="s">
        <v>767</v>
      </c>
      <c r="C379" s="94" t="s">
        <v>65</v>
      </c>
      <c r="D379" s="99">
        <v>61.5</v>
      </c>
    </row>
    <row r="380" spans="1:4" ht="16.5" x14ac:dyDescent="0.3">
      <c r="A380" s="105" t="s">
        <v>768</v>
      </c>
      <c r="B380" s="93" t="s">
        <v>769</v>
      </c>
      <c r="C380" s="94" t="s">
        <v>65</v>
      </c>
      <c r="D380" s="95">
        <v>10</v>
      </c>
    </row>
    <row r="381" spans="1:4" ht="16.5" x14ac:dyDescent="0.3">
      <c r="A381" s="105" t="s">
        <v>770</v>
      </c>
      <c r="B381" s="93" t="s">
        <v>771</v>
      </c>
      <c r="C381" s="94" t="s">
        <v>37</v>
      </c>
      <c r="D381" s="95">
        <v>30</v>
      </c>
    </row>
    <row r="382" spans="1:4" ht="16.5" x14ac:dyDescent="0.3">
      <c r="A382" s="105" t="s">
        <v>772</v>
      </c>
      <c r="B382" s="93" t="s">
        <v>773</v>
      </c>
      <c r="C382" s="94" t="s">
        <v>38</v>
      </c>
      <c r="D382" s="95"/>
    </row>
    <row r="383" spans="1:4" ht="16.5" x14ac:dyDescent="0.3">
      <c r="A383" s="105" t="s">
        <v>774</v>
      </c>
      <c r="B383" s="100" t="s">
        <v>775</v>
      </c>
      <c r="C383" s="94" t="s">
        <v>776</v>
      </c>
      <c r="D383" s="95">
        <v>87</v>
      </c>
    </row>
    <row r="384" spans="1:4" ht="16.5" x14ac:dyDescent="0.3">
      <c r="A384" s="105" t="s">
        <v>777</v>
      </c>
      <c r="B384" s="100" t="s">
        <v>778</v>
      </c>
      <c r="C384" s="94" t="s">
        <v>65</v>
      </c>
      <c r="D384" s="95">
        <v>35</v>
      </c>
    </row>
    <row r="385" spans="1:4" ht="17.25" thickBot="1" x14ac:dyDescent="0.35">
      <c r="A385" s="195" t="s">
        <v>779</v>
      </c>
      <c r="B385" s="196"/>
      <c r="C385" s="94"/>
      <c r="D385" s="101"/>
    </row>
    <row r="386" spans="1:4" ht="17.25" thickBot="1" x14ac:dyDescent="0.35">
      <c r="A386" s="117">
        <v>16</v>
      </c>
      <c r="B386" s="115" t="s">
        <v>780</v>
      </c>
      <c r="C386" s="102"/>
      <c r="D386" s="106"/>
    </row>
    <row r="387" spans="1:4" ht="16.5" x14ac:dyDescent="0.3">
      <c r="A387" s="105" t="s">
        <v>781</v>
      </c>
      <c r="B387" s="93" t="s">
        <v>782</v>
      </c>
      <c r="C387" s="94" t="s">
        <v>65</v>
      </c>
      <c r="D387" s="99">
        <v>35</v>
      </c>
    </row>
    <row r="388" spans="1:4" ht="16.5" x14ac:dyDescent="0.3">
      <c r="A388" s="105" t="s">
        <v>783</v>
      </c>
      <c r="B388" s="93" t="s">
        <v>784</v>
      </c>
      <c r="C388" s="94" t="s">
        <v>65</v>
      </c>
      <c r="D388" s="95">
        <v>15</v>
      </c>
    </row>
    <row r="389" spans="1:4" ht="16.5" x14ac:dyDescent="0.3">
      <c r="A389" s="105" t="s">
        <v>785</v>
      </c>
      <c r="B389" s="93" t="s">
        <v>786</v>
      </c>
      <c r="C389" s="94" t="s">
        <v>65</v>
      </c>
      <c r="D389" s="95">
        <v>32</v>
      </c>
    </row>
    <row r="390" spans="1:4" ht="16.5" x14ac:dyDescent="0.3">
      <c r="A390" s="105" t="s">
        <v>787</v>
      </c>
      <c r="B390" s="93" t="s">
        <v>788</v>
      </c>
      <c r="C390" s="94" t="s">
        <v>65</v>
      </c>
      <c r="D390" s="95">
        <v>28</v>
      </c>
    </row>
    <row r="391" spans="1:4" ht="16.5" x14ac:dyDescent="0.3">
      <c r="A391" s="105" t="s">
        <v>789</v>
      </c>
      <c r="B391" s="100" t="s">
        <v>790</v>
      </c>
      <c r="C391" s="94" t="s">
        <v>65</v>
      </c>
      <c r="D391" s="95">
        <v>9.8000000000000007</v>
      </c>
    </row>
    <row r="392" spans="1:4" ht="17.25" thickBot="1" x14ac:dyDescent="0.35">
      <c r="A392" s="195" t="s">
        <v>791</v>
      </c>
      <c r="B392" s="196"/>
      <c r="C392" s="94"/>
      <c r="D392" s="101"/>
    </row>
    <row r="393" spans="1:4" ht="17.25" thickBot="1" x14ac:dyDescent="0.35">
      <c r="A393" s="117">
        <v>17</v>
      </c>
      <c r="B393" s="115" t="s">
        <v>792</v>
      </c>
      <c r="C393" s="102"/>
      <c r="D393" s="106"/>
    </row>
    <row r="394" spans="1:4" ht="16.5" x14ac:dyDescent="0.3">
      <c r="A394" s="110" t="s">
        <v>793</v>
      </c>
      <c r="B394" s="111" t="s">
        <v>794</v>
      </c>
      <c r="C394" s="112" t="s">
        <v>65</v>
      </c>
      <c r="D394" s="95">
        <v>45</v>
      </c>
    </row>
    <row r="395" spans="1:4" ht="16.5" x14ac:dyDescent="0.3">
      <c r="A395" s="104" t="s">
        <v>795</v>
      </c>
      <c r="B395" s="89" t="s">
        <v>796</v>
      </c>
      <c r="C395" s="90" t="s">
        <v>65</v>
      </c>
      <c r="D395" s="95">
        <v>15</v>
      </c>
    </row>
    <row r="396" spans="1:4" ht="16.5" x14ac:dyDescent="0.3">
      <c r="A396" s="105" t="s">
        <v>797</v>
      </c>
      <c r="B396" s="93" t="s">
        <v>798</v>
      </c>
      <c r="C396" s="94" t="s">
        <v>65</v>
      </c>
      <c r="D396" s="95">
        <v>30</v>
      </c>
    </row>
    <row r="397" spans="1:4" ht="16.5" x14ac:dyDescent="0.3">
      <c r="A397" s="105" t="s">
        <v>799</v>
      </c>
      <c r="B397" s="93" t="s">
        <v>800</v>
      </c>
      <c r="C397" s="94" t="s">
        <v>65</v>
      </c>
      <c r="D397" s="95">
        <v>13</v>
      </c>
    </row>
    <row r="398" spans="1:4" ht="16.5" x14ac:dyDescent="0.3">
      <c r="A398" s="105" t="s">
        <v>801</v>
      </c>
      <c r="B398" s="93" t="s">
        <v>802</v>
      </c>
      <c r="C398" s="94" t="s">
        <v>65</v>
      </c>
      <c r="D398" s="95">
        <v>25</v>
      </c>
    </row>
    <row r="399" spans="1:4" ht="16.5" x14ac:dyDescent="0.3">
      <c r="A399" s="105" t="s">
        <v>803</v>
      </c>
      <c r="B399" s="93" t="s">
        <v>804</v>
      </c>
      <c r="C399" s="94" t="s">
        <v>65</v>
      </c>
      <c r="D399" s="95">
        <v>32</v>
      </c>
    </row>
    <row r="400" spans="1:4" ht="16.5" x14ac:dyDescent="0.3">
      <c r="A400" s="105" t="s">
        <v>805</v>
      </c>
      <c r="B400" s="93" t="s">
        <v>806</v>
      </c>
      <c r="C400" s="94" t="s">
        <v>65</v>
      </c>
      <c r="D400" s="95">
        <v>25</v>
      </c>
    </row>
    <row r="401" spans="1:4" ht="16.5" x14ac:dyDescent="0.3">
      <c r="A401" s="105" t="s">
        <v>807</v>
      </c>
      <c r="B401" s="93" t="s">
        <v>808</v>
      </c>
      <c r="C401" s="94" t="s">
        <v>65</v>
      </c>
      <c r="D401" s="95">
        <v>32</v>
      </c>
    </row>
    <row r="402" spans="1:4" ht="16.5" x14ac:dyDescent="0.3">
      <c r="A402" s="105" t="s">
        <v>809</v>
      </c>
      <c r="B402" s="93" t="s">
        <v>810</v>
      </c>
      <c r="C402" s="94" t="s">
        <v>65</v>
      </c>
      <c r="D402" s="95">
        <v>30</v>
      </c>
    </row>
    <row r="403" spans="1:4" ht="16.5" x14ac:dyDescent="0.3">
      <c r="A403" s="105" t="s">
        <v>811</v>
      </c>
      <c r="B403" s="93" t="s">
        <v>812</v>
      </c>
      <c r="C403" s="94" t="s">
        <v>65</v>
      </c>
      <c r="D403" s="95">
        <v>42</v>
      </c>
    </row>
    <row r="404" spans="1:4" ht="16.5" x14ac:dyDescent="0.3">
      <c r="A404" s="105" t="s">
        <v>813</v>
      </c>
      <c r="B404" s="93" t="s">
        <v>814</v>
      </c>
      <c r="C404" s="94" t="s">
        <v>65</v>
      </c>
      <c r="D404" s="95">
        <v>15</v>
      </c>
    </row>
    <row r="405" spans="1:4" ht="16.5" x14ac:dyDescent="0.3">
      <c r="A405" s="105" t="s">
        <v>815</v>
      </c>
      <c r="B405" s="93" t="s">
        <v>816</v>
      </c>
      <c r="C405" s="94" t="s">
        <v>65</v>
      </c>
      <c r="D405" s="95"/>
    </row>
    <row r="406" spans="1:4" ht="16.5" x14ac:dyDescent="0.3">
      <c r="A406" s="105" t="s">
        <v>817</v>
      </c>
      <c r="B406" s="93" t="s">
        <v>818</v>
      </c>
      <c r="C406" s="94" t="s">
        <v>65</v>
      </c>
      <c r="D406" s="95">
        <v>30</v>
      </c>
    </row>
    <row r="407" spans="1:4" ht="16.5" x14ac:dyDescent="0.3">
      <c r="A407" s="105" t="s">
        <v>819</v>
      </c>
      <c r="B407" s="93" t="s">
        <v>820</v>
      </c>
      <c r="C407" s="94" t="s">
        <v>65</v>
      </c>
      <c r="D407" s="95">
        <v>11</v>
      </c>
    </row>
    <row r="408" spans="1:4" ht="16.5" x14ac:dyDescent="0.3">
      <c r="A408" s="105" t="s">
        <v>821</v>
      </c>
      <c r="B408" s="93" t="s">
        <v>822</v>
      </c>
      <c r="C408" s="94" t="s">
        <v>39</v>
      </c>
      <c r="D408" s="95"/>
    </row>
    <row r="409" spans="1:4" ht="16.5" x14ac:dyDescent="0.3">
      <c r="A409" s="105" t="s">
        <v>823</v>
      </c>
      <c r="B409" s="93" t="s">
        <v>824</v>
      </c>
      <c r="C409" s="94" t="s">
        <v>65</v>
      </c>
      <c r="D409" s="95">
        <v>22</v>
      </c>
    </row>
    <row r="410" spans="1:4" ht="16.5" x14ac:dyDescent="0.3">
      <c r="A410" s="105" t="s">
        <v>825</v>
      </c>
      <c r="B410" s="93" t="s">
        <v>826</v>
      </c>
      <c r="C410" s="94" t="s">
        <v>65</v>
      </c>
      <c r="D410" s="95">
        <v>56</v>
      </c>
    </row>
    <row r="411" spans="1:4" ht="16.5" x14ac:dyDescent="0.3">
      <c r="A411" s="105" t="s">
        <v>827</v>
      </c>
      <c r="B411" s="93" t="s">
        <v>828</v>
      </c>
      <c r="C411" s="94" t="s">
        <v>65</v>
      </c>
      <c r="D411" s="95"/>
    </row>
    <row r="412" spans="1:4" ht="17.25" thickBot="1" x14ac:dyDescent="0.35">
      <c r="A412" s="195" t="s">
        <v>829</v>
      </c>
      <c r="B412" s="196"/>
      <c r="C412" s="94"/>
      <c r="D412" s="101"/>
    </row>
    <row r="413" spans="1:4" ht="17.25" thickBot="1" x14ac:dyDescent="0.35">
      <c r="A413" s="117">
        <v>18</v>
      </c>
      <c r="B413" s="115" t="s">
        <v>830</v>
      </c>
      <c r="C413" s="102"/>
      <c r="D413" s="106"/>
    </row>
    <row r="414" spans="1:4" ht="16.5" x14ac:dyDescent="0.3">
      <c r="A414" s="105" t="s">
        <v>833</v>
      </c>
      <c r="B414" s="93" t="s">
        <v>834</v>
      </c>
      <c r="C414" s="94" t="s">
        <v>37</v>
      </c>
      <c r="D414" s="95"/>
    </row>
    <row r="415" spans="1:4" ht="16.5" x14ac:dyDescent="0.3">
      <c r="A415" s="105" t="s">
        <v>835</v>
      </c>
      <c r="B415" s="93" t="s">
        <v>836</v>
      </c>
      <c r="C415" s="94" t="s">
        <v>37</v>
      </c>
      <c r="D415" s="95">
        <v>0.92</v>
      </c>
    </row>
    <row r="416" spans="1:4" ht="16.5" x14ac:dyDescent="0.3">
      <c r="A416" s="105" t="s">
        <v>837</v>
      </c>
      <c r="B416" s="93" t="s">
        <v>838</v>
      </c>
      <c r="C416" s="94" t="s">
        <v>37</v>
      </c>
      <c r="D416" s="95">
        <v>0.3</v>
      </c>
    </row>
    <row r="417" spans="1:4" ht="16.5" x14ac:dyDescent="0.3">
      <c r="A417" s="105" t="s">
        <v>839</v>
      </c>
      <c r="B417" s="93" t="s">
        <v>840</v>
      </c>
      <c r="C417" s="94" t="s">
        <v>37</v>
      </c>
      <c r="D417" s="95">
        <v>0.17</v>
      </c>
    </row>
    <row r="418" spans="1:4" ht="16.5" x14ac:dyDescent="0.3">
      <c r="A418" s="105" t="s">
        <v>841</v>
      </c>
      <c r="B418" s="93" t="s">
        <v>842</v>
      </c>
      <c r="C418" s="94" t="s">
        <v>37</v>
      </c>
      <c r="D418" s="95">
        <v>4</v>
      </c>
    </row>
    <row r="419" spans="1:4" ht="16.5" x14ac:dyDescent="0.3">
      <c r="A419" s="105" t="s">
        <v>843</v>
      </c>
      <c r="B419" s="93" t="s">
        <v>844</v>
      </c>
      <c r="C419" s="94" t="s">
        <v>38</v>
      </c>
      <c r="D419" s="95">
        <v>246</v>
      </c>
    </row>
    <row r="420" spans="1:4" ht="16.5" x14ac:dyDescent="0.3">
      <c r="A420" s="105" t="s">
        <v>845</v>
      </c>
      <c r="B420" s="93" t="s">
        <v>846</v>
      </c>
      <c r="C420" s="94" t="s">
        <v>39</v>
      </c>
      <c r="D420" s="95">
        <v>25</v>
      </c>
    </row>
    <row r="421" spans="1:4" ht="16.5" x14ac:dyDescent="0.3">
      <c r="A421" s="105" t="s">
        <v>847</v>
      </c>
      <c r="B421" s="93" t="s">
        <v>848</v>
      </c>
      <c r="C421" s="94" t="s">
        <v>38</v>
      </c>
      <c r="D421" s="95">
        <v>167</v>
      </c>
    </row>
    <row r="422" spans="1:4" ht="16.5" x14ac:dyDescent="0.3">
      <c r="A422" s="105" t="s">
        <v>849</v>
      </c>
      <c r="B422" s="93" t="s">
        <v>850</v>
      </c>
      <c r="C422" s="94" t="s">
        <v>37</v>
      </c>
      <c r="D422" s="95">
        <v>214</v>
      </c>
    </row>
    <row r="423" spans="1:4" ht="16.5" x14ac:dyDescent="0.3">
      <c r="A423" s="105"/>
      <c r="B423" s="93" t="s">
        <v>851</v>
      </c>
      <c r="C423" s="94" t="s">
        <v>37</v>
      </c>
      <c r="D423" s="95">
        <v>96</v>
      </c>
    </row>
    <row r="424" spans="1:4" ht="16.5" x14ac:dyDescent="0.3">
      <c r="A424" s="105" t="s">
        <v>852</v>
      </c>
      <c r="B424" s="93" t="s">
        <v>853</v>
      </c>
      <c r="C424" s="94" t="s">
        <v>38</v>
      </c>
      <c r="D424" s="95">
        <v>166</v>
      </c>
    </row>
    <row r="425" spans="1:4" ht="16.5" x14ac:dyDescent="0.3">
      <c r="A425" s="105" t="s">
        <v>854</v>
      </c>
      <c r="B425" s="93" t="s">
        <v>855</v>
      </c>
      <c r="C425" s="94" t="s">
        <v>37</v>
      </c>
      <c r="D425" s="95">
        <v>110</v>
      </c>
    </row>
    <row r="426" spans="1:4" ht="16.5" x14ac:dyDescent="0.3">
      <c r="A426" s="105" t="s">
        <v>856</v>
      </c>
      <c r="B426" s="93" t="s">
        <v>857</v>
      </c>
      <c r="C426" s="94" t="s">
        <v>39</v>
      </c>
      <c r="D426" s="95">
        <v>14</v>
      </c>
    </row>
    <row r="427" spans="1:4" ht="16.5" x14ac:dyDescent="0.3">
      <c r="A427" s="105" t="s">
        <v>858</v>
      </c>
      <c r="B427" s="93" t="s">
        <v>859</v>
      </c>
      <c r="C427" s="94" t="s">
        <v>37</v>
      </c>
      <c r="D427" s="95">
        <v>15</v>
      </c>
    </row>
    <row r="428" spans="1:4" ht="16.5" x14ac:dyDescent="0.3">
      <c r="A428" s="105" t="s">
        <v>860</v>
      </c>
      <c r="B428" s="96" t="s">
        <v>861</v>
      </c>
      <c r="C428" s="97" t="s">
        <v>38</v>
      </c>
      <c r="D428" s="95">
        <v>3</v>
      </c>
    </row>
    <row r="429" spans="1:4" ht="16.5" x14ac:dyDescent="0.3">
      <c r="A429" s="105" t="s">
        <v>862</v>
      </c>
      <c r="B429" s="93" t="s">
        <v>863</v>
      </c>
      <c r="C429" s="94" t="s">
        <v>38</v>
      </c>
      <c r="D429" s="95">
        <v>60</v>
      </c>
    </row>
    <row r="430" spans="1:4" ht="16.5" x14ac:dyDescent="0.3">
      <c r="A430" s="105" t="s">
        <v>864</v>
      </c>
      <c r="B430" s="93" t="s">
        <v>865</v>
      </c>
      <c r="C430" s="94" t="s">
        <v>37</v>
      </c>
      <c r="D430" s="95">
        <v>10</v>
      </c>
    </row>
    <row r="431" spans="1:4" ht="16.5" x14ac:dyDescent="0.3">
      <c r="A431" s="105" t="s">
        <v>866</v>
      </c>
      <c r="B431" s="93" t="s">
        <v>867</v>
      </c>
      <c r="C431" s="94" t="s">
        <v>37</v>
      </c>
      <c r="D431" s="95">
        <v>7</v>
      </c>
    </row>
    <row r="432" spans="1:4" ht="16.5" x14ac:dyDescent="0.3">
      <c r="A432" s="105" t="s">
        <v>868</v>
      </c>
      <c r="B432" s="93" t="s">
        <v>869</v>
      </c>
      <c r="C432" s="94" t="s">
        <v>37</v>
      </c>
      <c r="D432" s="95">
        <v>39</v>
      </c>
    </row>
    <row r="433" spans="1:4" ht="16.5" x14ac:dyDescent="0.3">
      <c r="A433" s="105" t="s">
        <v>870</v>
      </c>
      <c r="B433" s="93" t="s">
        <v>871</v>
      </c>
      <c r="C433" s="94" t="s">
        <v>37</v>
      </c>
      <c r="D433" s="95">
        <v>130</v>
      </c>
    </row>
    <row r="434" spans="1:4" ht="16.5" x14ac:dyDescent="0.3">
      <c r="A434" s="105" t="s">
        <v>872</v>
      </c>
      <c r="B434" s="93" t="s">
        <v>873</v>
      </c>
      <c r="C434" s="94" t="s">
        <v>874</v>
      </c>
      <c r="D434" s="95">
        <v>80</v>
      </c>
    </row>
    <row r="435" spans="1:4" ht="16.5" x14ac:dyDescent="0.3">
      <c r="A435" s="105" t="s">
        <v>875</v>
      </c>
      <c r="B435" s="93" t="s">
        <v>876</v>
      </c>
      <c r="C435" s="94" t="s">
        <v>874</v>
      </c>
      <c r="D435" s="95">
        <v>172</v>
      </c>
    </row>
    <row r="436" spans="1:4" ht="16.5" x14ac:dyDescent="0.3">
      <c r="A436" s="105" t="s">
        <v>877</v>
      </c>
      <c r="B436" s="93" t="s">
        <v>878</v>
      </c>
      <c r="C436" s="94" t="s">
        <v>37</v>
      </c>
      <c r="D436" s="95">
        <v>3.5</v>
      </c>
    </row>
    <row r="437" spans="1:4" ht="16.5" x14ac:dyDescent="0.3">
      <c r="A437" s="105" t="s">
        <v>879</v>
      </c>
      <c r="B437" s="93" t="s">
        <v>880</v>
      </c>
      <c r="C437" s="94" t="s">
        <v>38</v>
      </c>
      <c r="D437" s="95">
        <v>90</v>
      </c>
    </row>
    <row r="438" spans="1:4" ht="16.5" x14ac:dyDescent="0.3">
      <c r="A438" s="105" t="s">
        <v>881</v>
      </c>
      <c r="B438" s="93" t="s">
        <v>882</v>
      </c>
      <c r="C438" s="94" t="s">
        <v>39</v>
      </c>
      <c r="D438" s="95">
        <v>9</v>
      </c>
    </row>
    <row r="439" spans="1:4" ht="16.5" x14ac:dyDescent="0.3">
      <c r="A439" s="105" t="s">
        <v>883</v>
      </c>
      <c r="B439" s="93" t="s">
        <v>884</v>
      </c>
      <c r="C439" s="94" t="s">
        <v>37</v>
      </c>
      <c r="D439" s="95">
        <v>7</v>
      </c>
    </row>
    <row r="440" spans="1:4" ht="16.5" x14ac:dyDescent="0.3">
      <c r="A440" s="105" t="s">
        <v>885</v>
      </c>
      <c r="B440" s="96" t="s">
        <v>886</v>
      </c>
      <c r="C440" s="97" t="s">
        <v>874</v>
      </c>
      <c r="D440" s="95">
        <v>159</v>
      </c>
    </row>
    <row r="441" spans="1:4" ht="16.5" x14ac:dyDescent="0.3">
      <c r="A441" s="105" t="s">
        <v>887</v>
      </c>
      <c r="B441" s="93" t="s">
        <v>888</v>
      </c>
      <c r="C441" s="94" t="s">
        <v>37</v>
      </c>
      <c r="D441" s="95">
        <v>105</v>
      </c>
    </row>
    <row r="442" spans="1:4" ht="16.5" x14ac:dyDescent="0.3">
      <c r="A442" s="105" t="s">
        <v>889</v>
      </c>
      <c r="B442" s="93" t="s">
        <v>890</v>
      </c>
      <c r="C442" s="94" t="s">
        <v>37</v>
      </c>
      <c r="D442" s="95"/>
    </row>
    <row r="443" spans="1:4" ht="16.5" x14ac:dyDescent="0.3">
      <c r="A443" s="105" t="s">
        <v>891</v>
      </c>
      <c r="B443" s="93" t="s">
        <v>892</v>
      </c>
      <c r="C443" s="94" t="s">
        <v>38</v>
      </c>
      <c r="D443" s="95">
        <v>150</v>
      </c>
    </row>
    <row r="444" spans="1:4" ht="16.5" x14ac:dyDescent="0.3">
      <c r="A444" s="105" t="s">
        <v>893</v>
      </c>
      <c r="B444" s="93" t="s">
        <v>894</v>
      </c>
      <c r="C444" s="94" t="s">
        <v>38</v>
      </c>
      <c r="D444" s="95">
        <v>116</v>
      </c>
    </row>
    <row r="445" spans="1:4" ht="16.5" x14ac:dyDescent="0.3">
      <c r="A445" s="105" t="s">
        <v>895</v>
      </c>
      <c r="B445" s="93" t="s">
        <v>896</v>
      </c>
      <c r="C445" s="94" t="s">
        <v>874</v>
      </c>
      <c r="D445" s="95">
        <v>177</v>
      </c>
    </row>
    <row r="446" spans="1:4" ht="17.25" thickBot="1" x14ac:dyDescent="0.35">
      <c r="A446" s="195" t="s">
        <v>897</v>
      </c>
      <c r="B446" s="196"/>
      <c r="C446" s="94"/>
      <c r="D446" s="101"/>
    </row>
    <row r="447" spans="1:4" ht="17.25" thickBot="1" x14ac:dyDescent="0.35">
      <c r="A447" s="117">
        <v>19</v>
      </c>
      <c r="B447" s="115" t="s">
        <v>898</v>
      </c>
      <c r="C447" s="102"/>
      <c r="D447" s="106"/>
    </row>
    <row r="448" spans="1:4" ht="16.5" x14ac:dyDescent="0.3">
      <c r="A448" s="105" t="s">
        <v>899</v>
      </c>
      <c r="B448" s="93" t="s">
        <v>900</v>
      </c>
      <c r="C448" s="94" t="s">
        <v>37</v>
      </c>
      <c r="D448" s="95">
        <v>6</v>
      </c>
    </row>
    <row r="449" spans="1:4" ht="16.5" x14ac:dyDescent="0.3">
      <c r="A449" s="105" t="s">
        <v>901</v>
      </c>
      <c r="B449" s="93" t="s">
        <v>902</v>
      </c>
      <c r="C449" s="94" t="s">
        <v>37</v>
      </c>
      <c r="D449" s="95">
        <v>4</v>
      </c>
    </row>
    <row r="450" spans="1:4" ht="16.5" x14ac:dyDescent="0.3">
      <c r="A450" s="105" t="s">
        <v>903</v>
      </c>
      <c r="B450" s="93" t="s">
        <v>904</v>
      </c>
      <c r="C450" s="94" t="s">
        <v>37</v>
      </c>
      <c r="D450" s="95">
        <v>2</v>
      </c>
    </row>
    <row r="451" spans="1:4" ht="16.5" x14ac:dyDescent="0.3">
      <c r="A451" s="105" t="s">
        <v>905</v>
      </c>
      <c r="B451" s="93" t="s">
        <v>906</v>
      </c>
      <c r="C451" s="94" t="s">
        <v>37</v>
      </c>
      <c r="D451" s="95">
        <v>3.5</v>
      </c>
    </row>
    <row r="452" spans="1:4" ht="16.5" x14ac:dyDescent="0.3">
      <c r="A452" s="105" t="s">
        <v>907</v>
      </c>
      <c r="B452" s="93" t="s">
        <v>908</v>
      </c>
      <c r="C452" s="94" t="s">
        <v>37</v>
      </c>
      <c r="D452" s="95"/>
    </row>
    <row r="453" spans="1:4" ht="16.5" x14ac:dyDescent="0.3">
      <c r="A453" s="105" t="s">
        <v>907</v>
      </c>
      <c r="B453" s="93" t="s">
        <v>909</v>
      </c>
      <c r="C453" s="94" t="s">
        <v>37</v>
      </c>
      <c r="D453" s="95"/>
    </row>
    <row r="454" spans="1:4" ht="16.5" x14ac:dyDescent="0.3">
      <c r="A454" s="105" t="s">
        <v>910</v>
      </c>
      <c r="B454" s="93" t="s">
        <v>911</v>
      </c>
      <c r="C454" s="94" t="s">
        <v>37</v>
      </c>
      <c r="D454" s="95"/>
    </row>
    <row r="455" spans="1:4" ht="16.5" x14ac:dyDescent="0.3">
      <c r="A455" s="105" t="s">
        <v>912</v>
      </c>
      <c r="B455" s="93" t="s">
        <v>913</v>
      </c>
      <c r="C455" s="94" t="s">
        <v>37</v>
      </c>
      <c r="D455" s="95"/>
    </row>
    <row r="456" spans="1:4" ht="16.5" x14ac:dyDescent="0.3">
      <c r="A456" s="105" t="s">
        <v>914</v>
      </c>
      <c r="B456" s="93" t="s">
        <v>915</v>
      </c>
      <c r="C456" s="94" t="s">
        <v>37</v>
      </c>
      <c r="D456" s="95">
        <v>2</v>
      </c>
    </row>
    <row r="457" spans="1:4" ht="17.25" thickBot="1" x14ac:dyDescent="0.35">
      <c r="A457" s="195" t="s">
        <v>916</v>
      </c>
      <c r="B457" s="196"/>
      <c r="C457" s="94"/>
      <c r="D457" s="101"/>
    </row>
    <row r="458" spans="1:4" ht="17.25" thickBot="1" x14ac:dyDescent="0.35">
      <c r="A458" s="117">
        <v>20</v>
      </c>
      <c r="B458" s="115" t="s">
        <v>917</v>
      </c>
      <c r="C458" s="102"/>
      <c r="D458" s="103"/>
    </row>
    <row r="459" spans="1:4" ht="16.5" x14ac:dyDescent="0.3">
      <c r="A459" s="110" t="s">
        <v>918</v>
      </c>
      <c r="B459" s="111" t="s">
        <v>919</v>
      </c>
      <c r="C459" s="112" t="s">
        <v>37</v>
      </c>
      <c r="D459" s="95">
        <v>35</v>
      </c>
    </row>
    <row r="460" spans="1:4" ht="16.5" x14ac:dyDescent="0.3">
      <c r="A460" s="104" t="s">
        <v>920</v>
      </c>
      <c r="B460" s="89" t="s">
        <v>921</v>
      </c>
      <c r="C460" s="90" t="s">
        <v>37</v>
      </c>
      <c r="D460" s="95">
        <v>12</v>
      </c>
    </row>
    <row r="461" spans="1:4" ht="16.5" x14ac:dyDescent="0.3">
      <c r="A461" s="105" t="s">
        <v>922</v>
      </c>
      <c r="B461" s="93" t="s">
        <v>923</v>
      </c>
      <c r="C461" s="94" t="s">
        <v>37</v>
      </c>
      <c r="D461" s="95">
        <v>7</v>
      </c>
    </row>
    <row r="462" spans="1:4" ht="16.5" x14ac:dyDescent="0.3">
      <c r="A462" s="105" t="s">
        <v>924</v>
      </c>
      <c r="B462" s="93" t="s">
        <v>925</v>
      </c>
      <c r="C462" s="94" t="s">
        <v>37</v>
      </c>
      <c r="D462" s="95">
        <v>11</v>
      </c>
    </row>
    <row r="463" spans="1:4" ht="16.5" x14ac:dyDescent="0.3">
      <c r="A463" s="105" t="s">
        <v>926</v>
      </c>
      <c r="B463" s="93" t="s">
        <v>927</v>
      </c>
      <c r="C463" s="94" t="s">
        <v>37</v>
      </c>
      <c r="D463" s="95">
        <v>9</v>
      </c>
    </row>
    <row r="464" spans="1:4" ht="16.5" x14ac:dyDescent="0.3">
      <c r="A464" s="105" t="s">
        <v>928</v>
      </c>
      <c r="B464" s="93" t="s">
        <v>929</v>
      </c>
      <c r="C464" s="94" t="s">
        <v>37</v>
      </c>
      <c r="D464" s="95">
        <v>14</v>
      </c>
    </row>
    <row r="465" spans="1:4" ht="16.5" x14ac:dyDescent="0.3">
      <c r="A465" s="105" t="s">
        <v>930</v>
      </c>
      <c r="B465" s="93" t="s">
        <v>931</v>
      </c>
      <c r="C465" s="94" t="s">
        <v>37</v>
      </c>
      <c r="D465" s="95">
        <v>5</v>
      </c>
    </row>
    <row r="466" spans="1:4" ht="16.5" x14ac:dyDescent="0.3">
      <c r="A466" s="105" t="s">
        <v>932</v>
      </c>
      <c r="B466" s="93" t="s">
        <v>933</v>
      </c>
      <c r="C466" s="94" t="s">
        <v>37</v>
      </c>
      <c r="D466" s="95">
        <v>4</v>
      </c>
    </row>
    <row r="467" spans="1:4" ht="16.5" x14ac:dyDescent="0.3">
      <c r="A467" s="105" t="s">
        <v>934</v>
      </c>
      <c r="B467" s="93" t="s">
        <v>935</v>
      </c>
      <c r="C467" s="94" t="s">
        <v>37</v>
      </c>
      <c r="D467" s="95">
        <v>6</v>
      </c>
    </row>
    <row r="468" spans="1:4" ht="16.5" x14ac:dyDescent="0.3">
      <c r="A468" s="105" t="s">
        <v>936</v>
      </c>
      <c r="B468" s="93" t="s">
        <v>937</v>
      </c>
      <c r="C468" s="94" t="s">
        <v>37</v>
      </c>
      <c r="D468" s="95">
        <v>6</v>
      </c>
    </row>
    <row r="469" spans="1:4" ht="16.5" x14ac:dyDescent="0.3">
      <c r="A469" s="105" t="s">
        <v>938</v>
      </c>
      <c r="B469" s="93" t="s">
        <v>939</v>
      </c>
      <c r="C469" s="94" t="s">
        <v>37</v>
      </c>
      <c r="D469" s="95">
        <v>14</v>
      </c>
    </row>
    <row r="470" spans="1:4" ht="16.5" x14ac:dyDescent="0.3">
      <c r="A470" s="105" t="s">
        <v>940</v>
      </c>
      <c r="B470" s="93" t="s">
        <v>941</v>
      </c>
      <c r="C470" s="94" t="s">
        <v>37</v>
      </c>
      <c r="D470" s="95">
        <v>30</v>
      </c>
    </row>
    <row r="471" spans="1:4" ht="16.5" x14ac:dyDescent="0.3">
      <c r="A471" s="105" t="s">
        <v>942</v>
      </c>
      <c r="B471" s="93" t="s">
        <v>943</v>
      </c>
      <c r="C471" s="94" t="s">
        <v>37</v>
      </c>
      <c r="D471" s="95">
        <v>12.5</v>
      </c>
    </row>
    <row r="472" spans="1:4" ht="16.5" x14ac:dyDescent="0.3">
      <c r="A472" s="105" t="s">
        <v>944</v>
      </c>
      <c r="B472" s="93" t="s">
        <v>945</v>
      </c>
      <c r="C472" s="94" t="s">
        <v>37</v>
      </c>
      <c r="D472" s="95">
        <v>4.5</v>
      </c>
    </row>
    <row r="473" spans="1:4" ht="16.5" x14ac:dyDescent="0.3">
      <c r="A473" s="105" t="s">
        <v>946</v>
      </c>
      <c r="B473" s="93" t="s">
        <v>947</v>
      </c>
      <c r="C473" s="94" t="s">
        <v>37</v>
      </c>
      <c r="D473" s="95">
        <v>2.5</v>
      </c>
    </row>
    <row r="474" spans="1:4" ht="17.25" thickBot="1" x14ac:dyDescent="0.35">
      <c r="A474" s="195" t="s">
        <v>948</v>
      </c>
      <c r="B474" s="196"/>
      <c r="C474" s="94"/>
      <c r="D474" s="101"/>
    </row>
    <row r="475" spans="1:4" ht="17.25" thickBot="1" x14ac:dyDescent="0.35">
      <c r="A475" s="117">
        <v>21</v>
      </c>
      <c r="B475" s="115" t="s">
        <v>949</v>
      </c>
      <c r="C475" s="102"/>
      <c r="D475" s="106"/>
    </row>
    <row r="476" spans="1:4" ht="16.5" x14ac:dyDescent="0.3">
      <c r="A476" s="105" t="s">
        <v>950</v>
      </c>
      <c r="B476" s="93" t="s">
        <v>951</v>
      </c>
      <c r="C476" s="94" t="s">
        <v>37</v>
      </c>
      <c r="D476" s="95">
        <v>6</v>
      </c>
    </row>
    <row r="477" spans="1:4" ht="16.5" x14ac:dyDescent="0.3">
      <c r="A477" s="105" t="s">
        <v>952</v>
      </c>
      <c r="B477" s="93" t="s">
        <v>953</v>
      </c>
      <c r="C477" s="94" t="s">
        <v>37</v>
      </c>
      <c r="D477" s="95">
        <v>9</v>
      </c>
    </row>
    <row r="478" spans="1:4" ht="16.5" x14ac:dyDescent="0.3">
      <c r="A478" s="105" t="s">
        <v>954</v>
      </c>
      <c r="B478" s="93" t="s">
        <v>955</v>
      </c>
      <c r="C478" s="94" t="s">
        <v>34</v>
      </c>
      <c r="D478" s="95">
        <v>6</v>
      </c>
    </row>
    <row r="479" spans="1:4" ht="16.5" x14ac:dyDescent="0.3">
      <c r="A479" s="105" t="s">
        <v>956</v>
      </c>
      <c r="B479" s="93" t="s">
        <v>957</v>
      </c>
      <c r="C479" s="94" t="s">
        <v>37</v>
      </c>
      <c r="D479" s="95">
        <v>9</v>
      </c>
    </row>
    <row r="480" spans="1:4" ht="16.5" x14ac:dyDescent="0.3">
      <c r="A480" s="105" t="s">
        <v>958</v>
      </c>
      <c r="B480" s="93" t="s">
        <v>959</v>
      </c>
      <c r="C480" s="94" t="s">
        <v>37</v>
      </c>
      <c r="D480" s="95">
        <v>4</v>
      </c>
    </row>
    <row r="481" spans="1:4" ht="16.5" x14ac:dyDescent="0.3">
      <c r="A481" s="105" t="s">
        <v>960</v>
      </c>
      <c r="B481" s="93" t="s">
        <v>961</v>
      </c>
      <c r="C481" s="94" t="s">
        <v>56</v>
      </c>
      <c r="D481" s="99">
        <v>65</v>
      </c>
    </row>
    <row r="482" spans="1:4" ht="16.5" x14ac:dyDescent="0.3">
      <c r="A482" s="105" t="s">
        <v>962</v>
      </c>
      <c r="B482" s="93" t="s">
        <v>963</v>
      </c>
      <c r="C482" s="94" t="s">
        <v>56</v>
      </c>
      <c r="D482" s="95">
        <v>25</v>
      </c>
    </row>
    <row r="483" spans="1:4" ht="16.5" x14ac:dyDescent="0.3">
      <c r="A483" s="105" t="s">
        <v>964</v>
      </c>
      <c r="B483" s="93" t="s">
        <v>965</v>
      </c>
      <c r="C483" s="94" t="s">
        <v>65</v>
      </c>
      <c r="D483" s="99">
        <v>70</v>
      </c>
    </row>
    <row r="484" spans="1:4" ht="16.5" x14ac:dyDescent="0.3">
      <c r="A484" s="105" t="s">
        <v>966</v>
      </c>
      <c r="B484" s="93" t="s">
        <v>967</v>
      </c>
      <c r="C484" s="94" t="s">
        <v>37</v>
      </c>
      <c r="D484" s="95">
        <v>2.56</v>
      </c>
    </row>
    <row r="485" spans="1:4" ht="16.5" x14ac:dyDescent="0.3">
      <c r="A485" s="105" t="s">
        <v>968</v>
      </c>
      <c r="B485" s="93" t="s">
        <v>969</v>
      </c>
      <c r="C485" s="94" t="s">
        <v>37</v>
      </c>
      <c r="D485" s="95">
        <v>3</v>
      </c>
    </row>
    <row r="486" spans="1:4" ht="16.5" x14ac:dyDescent="0.3">
      <c r="A486" s="105" t="s">
        <v>970</v>
      </c>
      <c r="B486" s="93" t="s">
        <v>971</v>
      </c>
      <c r="C486" s="94" t="s">
        <v>37</v>
      </c>
      <c r="D486" s="95">
        <v>6</v>
      </c>
    </row>
    <row r="487" spans="1:4" ht="16.5" x14ac:dyDescent="0.3">
      <c r="A487" s="105" t="s">
        <v>972</v>
      </c>
      <c r="B487" s="93" t="s">
        <v>973</v>
      </c>
      <c r="C487" s="94" t="s">
        <v>56</v>
      </c>
      <c r="D487" s="95">
        <v>22</v>
      </c>
    </row>
    <row r="488" spans="1:4" ht="16.5" x14ac:dyDescent="0.3">
      <c r="A488" s="105" t="s">
        <v>974</v>
      </c>
      <c r="B488" s="93" t="s">
        <v>975</v>
      </c>
      <c r="C488" s="94" t="s">
        <v>37</v>
      </c>
      <c r="D488" s="95">
        <v>13</v>
      </c>
    </row>
    <row r="489" spans="1:4" ht="16.5" x14ac:dyDescent="0.3">
      <c r="A489" s="105" t="s">
        <v>976</v>
      </c>
      <c r="B489" s="93" t="s">
        <v>977</v>
      </c>
      <c r="C489" s="94" t="s">
        <v>37</v>
      </c>
      <c r="D489" s="95">
        <v>13</v>
      </c>
    </row>
    <row r="490" spans="1:4" ht="17.25" thickBot="1" x14ac:dyDescent="0.35">
      <c r="A490" s="195" t="s">
        <v>978</v>
      </c>
      <c r="B490" s="196"/>
      <c r="C490" s="94"/>
      <c r="D490" s="101"/>
    </row>
    <row r="491" spans="1:4" ht="17.25" thickBot="1" x14ac:dyDescent="0.35">
      <c r="A491" s="117">
        <v>22</v>
      </c>
      <c r="B491" s="115" t="s">
        <v>979</v>
      </c>
      <c r="C491" s="102"/>
      <c r="D491" s="106"/>
    </row>
    <row r="492" spans="1:4" ht="16.5" x14ac:dyDescent="0.3">
      <c r="A492" s="105" t="s">
        <v>980</v>
      </c>
      <c r="B492" s="93" t="s">
        <v>981</v>
      </c>
      <c r="C492" s="94" t="s">
        <v>982</v>
      </c>
      <c r="D492" s="99">
        <v>57</v>
      </c>
    </row>
    <row r="493" spans="1:4" ht="16.5" x14ac:dyDescent="0.3">
      <c r="A493" s="105" t="s">
        <v>983</v>
      </c>
      <c r="B493" s="93" t="s">
        <v>984</v>
      </c>
      <c r="C493" s="94" t="s">
        <v>56</v>
      </c>
      <c r="D493" s="95">
        <v>90</v>
      </c>
    </row>
    <row r="494" spans="1:4" ht="16.5" x14ac:dyDescent="0.3">
      <c r="A494" s="105" t="s">
        <v>985</v>
      </c>
      <c r="B494" s="93" t="s">
        <v>986</v>
      </c>
      <c r="C494" s="94" t="s">
        <v>56</v>
      </c>
      <c r="D494" s="95"/>
    </row>
    <row r="495" spans="1:4" ht="16.5" x14ac:dyDescent="0.3">
      <c r="A495" s="105" t="s">
        <v>987</v>
      </c>
      <c r="B495" s="93" t="s">
        <v>988</v>
      </c>
      <c r="C495" s="94" t="s">
        <v>56</v>
      </c>
      <c r="D495" s="95"/>
    </row>
    <row r="496" spans="1:4" ht="16.5" x14ac:dyDescent="0.3">
      <c r="A496" s="105" t="s">
        <v>989</v>
      </c>
      <c r="B496" s="93" t="s">
        <v>990</v>
      </c>
      <c r="C496" s="94" t="s">
        <v>56</v>
      </c>
      <c r="D496" s="95"/>
    </row>
    <row r="497" spans="1:4" ht="16.5" x14ac:dyDescent="0.3">
      <c r="A497" s="105" t="s">
        <v>991</v>
      </c>
      <c r="B497" s="93" t="s">
        <v>992</v>
      </c>
      <c r="C497" s="94" t="s">
        <v>38</v>
      </c>
      <c r="D497" s="95"/>
    </row>
    <row r="498" spans="1:4" ht="17.25" thickBot="1" x14ac:dyDescent="0.35">
      <c r="A498" s="197" t="s">
        <v>993</v>
      </c>
      <c r="B498" s="198"/>
      <c r="C498" s="119"/>
      <c r="D498" s="120"/>
    </row>
    <row r="499" spans="1:4" ht="17.25" thickBot="1" x14ac:dyDescent="0.35">
      <c r="A499" s="121"/>
      <c r="B499" s="121"/>
      <c r="C499" s="121"/>
      <c r="D499" s="122"/>
    </row>
  </sheetData>
  <mergeCells count="24">
    <mergeCell ref="A118:B118"/>
    <mergeCell ref="C2:C6"/>
    <mergeCell ref="A46:B46"/>
    <mergeCell ref="A72:B72"/>
    <mergeCell ref="A2:B6"/>
    <mergeCell ref="A106:B106"/>
    <mergeCell ref="A155:B155"/>
    <mergeCell ref="A169:B169"/>
    <mergeCell ref="A360:B360"/>
    <mergeCell ref="A457:B457"/>
    <mergeCell ref="A192:B192"/>
    <mergeCell ref="A260:B260"/>
    <mergeCell ref="A298:B298"/>
    <mergeCell ref="A307:B307"/>
    <mergeCell ref="A340:B340"/>
    <mergeCell ref="A326:B326"/>
    <mergeCell ref="A474:B474"/>
    <mergeCell ref="A490:B490"/>
    <mergeCell ref="A498:B498"/>
    <mergeCell ref="A373:B373"/>
    <mergeCell ref="A385:B385"/>
    <mergeCell ref="A392:B392"/>
    <mergeCell ref="A412:B412"/>
    <mergeCell ref="A446:B446"/>
  </mergeCells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350"/>
  <sheetViews>
    <sheetView view="pageBreakPreview" topLeftCell="A55" workbookViewId="0">
      <selection activeCell="H24" sqref="H24"/>
    </sheetView>
  </sheetViews>
  <sheetFormatPr baseColWidth="10" defaultColWidth="11.42578125" defaultRowHeight="12.75" x14ac:dyDescent="0.2"/>
  <cols>
    <col min="1" max="1" width="6" style="1" customWidth="1"/>
    <col min="2" max="2" width="27.5703125" style="1" customWidth="1"/>
    <col min="3" max="3" width="11.28515625" style="1" customWidth="1"/>
    <col min="4" max="4" width="15.5703125" style="1" customWidth="1"/>
    <col min="5" max="5" width="15.28515625" style="1" customWidth="1"/>
    <col min="6" max="6" width="27.42578125" style="1" customWidth="1"/>
    <col min="7" max="7" width="11.42578125" style="1"/>
    <col min="8" max="8" width="21.28515625" style="1" customWidth="1"/>
    <col min="9" max="16384" width="11.42578125" style="1"/>
  </cols>
  <sheetData>
    <row r="1" spans="1:7" ht="26.25" customHeight="1" x14ac:dyDescent="0.2">
      <c r="C1" s="2"/>
    </row>
    <row r="2" spans="1:7" ht="26.25" customHeight="1" x14ac:dyDescent="0.2">
      <c r="B2" s="2" t="s">
        <v>40</v>
      </c>
      <c r="C2" s="2"/>
    </row>
    <row r="3" spans="1:7" x14ac:dyDescent="0.2">
      <c r="A3" s="2"/>
      <c r="B3" s="3"/>
    </row>
    <row r="4" spans="1:7" x14ac:dyDescent="0.2">
      <c r="A4" s="4"/>
    </row>
    <row r="5" spans="1:7" x14ac:dyDescent="0.2">
      <c r="A5" s="66" t="s">
        <v>11</v>
      </c>
      <c r="B5" s="5" t="s">
        <v>41</v>
      </c>
    </row>
    <row r="6" spans="1:7" x14ac:dyDescent="0.2">
      <c r="B6" s="7" t="s">
        <v>14</v>
      </c>
    </row>
    <row r="9" spans="1:7" ht="13.5" thickBot="1" x14ac:dyDescent="0.25"/>
    <row r="10" spans="1:7" ht="16.5" thickBot="1" x14ac:dyDescent="0.3">
      <c r="B10" s="9" t="s">
        <v>48</v>
      </c>
      <c r="C10" s="75"/>
      <c r="D10" s="70"/>
      <c r="E10" s="70"/>
      <c r="F10" s="70"/>
      <c r="G10" s="71"/>
    </row>
    <row r="11" spans="1:7" ht="16.5" thickBot="1" x14ac:dyDescent="0.3">
      <c r="B11" s="9" t="s">
        <v>15</v>
      </c>
      <c r="C11" s="75"/>
      <c r="D11" s="70"/>
      <c r="E11" s="70"/>
      <c r="F11" s="70"/>
      <c r="G11" s="71"/>
    </row>
    <row r="12" spans="1:7" ht="16.5" thickBot="1" x14ac:dyDescent="0.3">
      <c r="B12" s="9" t="s">
        <v>16</v>
      </c>
      <c r="C12" s="75"/>
      <c r="D12" s="70"/>
      <c r="E12" s="70"/>
      <c r="F12" s="70"/>
      <c r="G12" s="71"/>
    </row>
    <row r="13" spans="1:7" ht="16.5" thickBot="1" x14ac:dyDescent="0.3">
      <c r="B13" s="9" t="s">
        <v>17</v>
      </c>
      <c r="C13" s="75"/>
      <c r="D13" s="70"/>
      <c r="E13" s="70"/>
      <c r="F13" s="70"/>
      <c r="G13" s="71"/>
    </row>
    <row r="14" spans="1:7" ht="16.5" thickBot="1" x14ac:dyDescent="0.3">
      <c r="B14" s="9" t="s">
        <v>18</v>
      </c>
      <c r="C14" s="75"/>
      <c r="D14" s="70"/>
      <c r="E14" s="70"/>
      <c r="F14" s="70"/>
      <c r="G14" s="71"/>
    </row>
    <row r="15" spans="1:7" ht="16.5" thickBot="1" x14ac:dyDescent="0.3">
      <c r="B15" s="9" t="s">
        <v>49</v>
      </c>
      <c r="C15" s="75"/>
      <c r="D15" s="70"/>
      <c r="E15" s="70"/>
      <c r="F15" s="70"/>
      <c r="G15" s="71"/>
    </row>
    <row r="16" spans="1:7" ht="16.5" thickBot="1" x14ac:dyDescent="0.3">
      <c r="B16" s="9" t="s">
        <v>51</v>
      </c>
      <c r="C16" s="75"/>
      <c r="D16" s="70"/>
      <c r="E16" s="70"/>
      <c r="F16" s="70"/>
      <c r="G16" s="71"/>
    </row>
    <row r="17" spans="2:8" ht="16.5" thickBot="1" x14ac:dyDescent="0.3">
      <c r="B17" s="9" t="s">
        <v>47</v>
      </c>
      <c r="C17" s="75"/>
      <c r="D17" s="70"/>
      <c r="E17" s="70"/>
      <c r="F17" s="70"/>
      <c r="G17" s="71"/>
    </row>
    <row r="18" spans="2:8" ht="16.5" thickBot="1" x14ac:dyDescent="0.3">
      <c r="B18" s="9" t="s">
        <v>50</v>
      </c>
      <c r="C18" s="76"/>
      <c r="D18" s="72"/>
      <c r="E18" s="72"/>
      <c r="F18" s="72"/>
      <c r="G18" s="73"/>
    </row>
    <row r="19" spans="2:8" x14ac:dyDescent="0.2">
      <c r="B19" s="10"/>
    </row>
    <row r="21" spans="2:8" ht="16.5" thickBot="1" x14ac:dyDescent="0.3">
      <c r="B21" s="203" t="s">
        <v>42</v>
      </c>
      <c r="C21" s="203"/>
      <c r="D21" s="203"/>
      <c r="E21" s="203"/>
      <c r="F21" s="203"/>
      <c r="G21" s="203"/>
      <c r="H21" s="203"/>
    </row>
    <row r="22" spans="2:8" ht="13.5" thickBot="1" x14ac:dyDescent="0.25">
      <c r="B22" s="204" t="s">
        <v>12</v>
      </c>
      <c r="C22" s="205"/>
      <c r="D22" s="205"/>
      <c r="E22" s="206"/>
      <c r="F22" s="204" t="s">
        <v>13</v>
      </c>
      <c r="G22" s="205"/>
      <c r="H22" s="206"/>
    </row>
    <row r="23" spans="2:8" x14ac:dyDescent="0.2">
      <c r="B23" s="12" t="s">
        <v>19</v>
      </c>
      <c r="C23" s="13" t="s">
        <v>20</v>
      </c>
      <c r="D23" s="13" t="s">
        <v>21</v>
      </c>
      <c r="E23" s="14" t="s">
        <v>22</v>
      </c>
      <c r="F23" s="12" t="s">
        <v>20</v>
      </c>
      <c r="G23" s="13" t="s">
        <v>21</v>
      </c>
      <c r="H23" s="15" t="s">
        <v>22</v>
      </c>
    </row>
    <row r="24" spans="2:8" ht="15" x14ac:dyDescent="0.25">
      <c r="B24" s="80"/>
      <c r="C24" s="74"/>
      <c r="D24" s="17"/>
      <c r="E24" s="18"/>
      <c r="F24" s="19"/>
      <c r="G24" s="20">
        <f t="shared" ref="G24:G63" si="0">D24</f>
        <v>0</v>
      </c>
      <c r="H24" s="18">
        <f t="shared" ref="H24:H63" si="1">+G24*F24</f>
        <v>0</v>
      </c>
    </row>
    <row r="25" spans="2:8" x14ac:dyDescent="0.2">
      <c r="B25" s="42"/>
      <c r="C25" s="67"/>
      <c r="D25" s="17"/>
      <c r="E25" s="18"/>
      <c r="F25" s="19"/>
      <c r="G25" s="20">
        <f t="shared" si="0"/>
        <v>0</v>
      </c>
      <c r="H25" s="18">
        <f t="shared" si="1"/>
        <v>0</v>
      </c>
    </row>
    <row r="26" spans="2:8" x14ac:dyDescent="0.2">
      <c r="B26" s="42"/>
      <c r="C26" s="67"/>
      <c r="D26" s="17"/>
      <c r="E26" s="18"/>
      <c r="F26" s="19"/>
      <c r="G26" s="20">
        <f t="shared" si="0"/>
        <v>0</v>
      </c>
      <c r="H26" s="18">
        <f t="shared" si="1"/>
        <v>0</v>
      </c>
    </row>
    <row r="27" spans="2:8" x14ac:dyDescent="0.2">
      <c r="B27" s="42"/>
      <c r="C27" s="67"/>
      <c r="D27" s="17"/>
      <c r="E27" s="18"/>
      <c r="F27" s="19"/>
      <c r="G27" s="20">
        <f t="shared" si="0"/>
        <v>0</v>
      </c>
      <c r="H27" s="18">
        <f t="shared" si="1"/>
        <v>0</v>
      </c>
    </row>
    <row r="28" spans="2:8" x14ac:dyDescent="0.2">
      <c r="B28" s="42"/>
      <c r="C28" s="67"/>
      <c r="D28" s="17"/>
      <c r="E28" s="18"/>
      <c r="F28" s="19"/>
      <c r="G28" s="20">
        <f t="shared" si="0"/>
        <v>0</v>
      </c>
      <c r="H28" s="18">
        <f t="shared" si="1"/>
        <v>0</v>
      </c>
    </row>
    <row r="29" spans="2:8" x14ac:dyDescent="0.2">
      <c r="B29" s="42"/>
      <c r="C29" s="67"/>
      <c r="D29" s="17"/>
      <c r="E29" s="18"/>
      <c r="F29" s="19"/>
      <c r="G29" s="20">
        <f t="shared" si="0"/>
        <v>0</v>
      </c>
      <c r="H29" s="18">
        <f t="shared" si="1"/>
        <v>0</v>
      </c>
    </row>
    <row r="30" spans="2:8" x14ac:dyDescent="0.2">
      <c r="B30" s="42"/>
      <c r="C30" s="67"/>
      <c r="D30" s="17"/>
      <c r="E30" s="18"/>
      <c r="F30" s="19"/>
      <c r="G30" s="20">
        <f t="shared" si="0"/>
        <v>0</v>
      </c>
      <c r="H30" s="18">
        <f t="shared" si="1"/>
        <v>0</v>
      </c>
    </row>
    <row r="31" spans="2:8" x14ac:dyDescent="0.2">
      <c r="B31" s="42"/>
      <c r="C31" s="67"/>
      <c r="D31" s="17"/>
      <c r="E31" s="18"/>
      <c r="F31" s="19"/>
      <c r="G31" s="20">
        <f t="shared" si="0"/>
        <v>0</v>
      </c>
      <c r="H31" s="18">
        <f t="shared" si="1"/>
        <v>0</v>
      </c>
    </row>
    <row r="32" spans="2:8" x14ac:dyDescent="0.2">
      <c r="B32" s="42"/>
      <c r="C32" s="67"/>
      <c r="D32" s="17"/>
      <c r="E32" s="18"/>
      <c r="F32" s="19"/>
      <c r="G32" s="20">
        <f t="shared" si="0"/>
        <v>0</v>
      </c>
      <c r="H32" s="18">
        <f t="shared" si="1"/>
        <v>0</v>
      </c>
    </row>
    <row r="33" spans="2:8" x14ac:dyDescent="0.2">
      <c r="B33" s="42"/>
      <c r="C33" s="67"/>
      <c r="D33" s="17"/>
      <c r="E33" s="18"/>
      <c r="F33" s="19"/>
      <c r="G33" s="20">
        <f t="shared" si="0"/>
        <v>0</v>
      </c>
      <c r="H33" s="18">
        <f t="shared" si="1"/>
        <v>0</v>
      </c>
    </row>
    <row r="34" spans="2:8" x14ac:dyDescent="0.2">
      <c r="B34" s="42"/>
      <c r="C34" s="67"/>
      <c r="D34" s="17"/>
      <c r="E34" s="18"/>
      <c r="F34" s="19"/>
      <c r="G34" s="20">
        <f t="shared" si="0"/>
        <v>0</v>
      </c>
      <c r="H34" s="18"/>
    </row>
    <row r="35" spans="2:8" x14ac:dyDescent="0.2">
      <c r="B35" s="42"/>
      <c r="C35" s="67"/>
      <c r="D35" s="17"/>
      <c r="E35" s="18"/>
      <c r="F35" s="19"/>
      <c r="G35" s="20">
        <f t="shared" si="0"/>
        <v>0</v>
      </c>
      <c r="H35" s="18">
        <f t="shared" si="1"/>
        <v>0</v>
      </c>
    </row>
    <row r="36" spans="2:8" x14ac:dyDescent="0.2">
      <c r="B36" s="42"/>
      <c r="C36" s="67"/>
      <c r="D36" s="17"/>
      <c r="E36" s="18"/>
      <c r="F36" s="19"/>
      <c r="G36" s="20">
        <f t="shared" si="0"/>
        <v>0</v>
      </c>
      <c r="H36" s="18">
        <f t="shared" si="1"/>
        <v>0</v>
      </c>
    </row>
    <row r="37" spans="2:8" x14ac:dyDescent="0.2">
      <c r="B37" s="42"/>
      <c r="C37" s="67"/>
      <c r="D37" s="17"/>
      <c r="E37" s="18"/>
      <c r="F37" s="19"/>
      <c r="G37" s="20">
        <f t="shared" si="0"/>
        <v>0</v>
      </c>
      <c r="H37" s="18">
        <f t="shared" si="1"/>
        <v>0</v>
      </c>
    </row>
    <row r="38" spans="2:8" x14ac:dyDescent="0.2">
      <c r="B38" s="42"/>
      <c r="C38" s="67"/>
      <c r="D38" s="17"/>
      <c r="E38" s="18"/>
      <c r="F38" s="19"/>
      <c r="G38" s="20">
        <f t="shared" si="0"/>
        <v>0</v>
      </c>
      <c r="H38" s="18">
        <f t="shared" si="1"/>
        <v>0</v>
      </c>
    </row>
    <row r="39" spans="2:8" x14ac:dyDescent="0.2">
      <c r="B39" s="42"/>
      <c r="C39" s="67"/>
      <c r="D39" s="17"/>
      <c r="E39" s="18"/>
      <c r="F39" s="19"/>
      <c r="G39" s="20">
        <f t="shared" si="0"/>
        <v>0</v>
      </c>
      <c r="H39" s="18">
        <f t="shared" si="1"/>
        <v>0</v>
      </c>
    </row>
    <row r="40" spans="2:8" x14ac:dyDescent="0.2">
      <c r="B40" s="42"/>
      <c r="C40" s="67"/>
      <c r="D40" s="17"/>
      <c r="E40" s="18"/>
      <c r="F40" s="19"/>
      <c r="G40" s="20">
        <f t="shared" si="0"/>
        <v>0</v>
      </c>
      <c r="H40" s="18">
        <f t="shared" si="1"/>
        <v>0</v>
      </c>
    </row>
    <row r="41" spans="2:8" x14ac:dyDescent="0.2">
      <c r="B41" s="42"/>
      <c r="C41" s="67"/>
      <c r="D41" s="17"/>
      <c r="E41" s="18"/>
      <c r="F41" s="19"/>
      <c r="G41" s="20">
        <f t="shared" si="0"/>
        <v>0</v>
      </c>
      <c r="H41" s="18">
        <f t="shared" si="1"/>
        <v>0</v>
      </c>
    </row>
    <row r="42" spans="2:8" x14ac:dyDescent="0.2">
      <c r="B42" s="42"/>
      <c r="C42" s="67"/>
      <c r="D42" s="17"/>
      <c r="E42" s="18"/>
      <c r="F42" s="19"/>
      <c r="G42" s="20">
        <f t="shared" si="0"/>
        <v>0</v>
      </c>
      <c r="H42" s="18">
        <f t="shared" si="1"/>
        <v>0</v>
      </c>
    </row>
    <row r="43" spans="2:8" x14ac:dyDescent="0.2">
      <c r="B43" s="42"/>
      <c r="C43" s="67"/>
      <c r="D43" s="17"/>
      <c r="E43" s="18"/>
      <c r="F43" s="19"/>
      <c r="G43" s="20">
        <f t="shared" si="0"/>
        <v>0</v>
      </c>
      <c r="H43" s="18">
        <f t="shared" si="1"/>
        <v>0</v>
      </c>
    </row>
    <row r="44" spans="2:8" x14ac:dyDescent="0.2">
      <c r="B44" s="42"/>
      <c r="C44" s="67"/>
      <c r="D44" s="17"/>
      <c r="E44" s="18"/>
      <c r="F44" s="19"/>
      <c r="G44" s="20">
        <f t="shared" si="0"/>
        <v>0</v>
      </c>
      <c r="H44" s="18">
        <f t="shared" si="1"/>
        <v>0</v>
      </c>
    </row>
    <row r="45" spans="2:8" x14ac:dyDescent="0.2">
      <c r="B45" s="42"/>
      <c r="C45" s="67"/>
      <c r="D45" s="17"/>
      <c r="E45" s="18"/>
      <c r="F45" s="19"/>
      <c r="G45" s="20">
        <f t="shared" si="0"/>
        <v>0</v>
      </c>
      <c r="H45" s="18">
        <f t="shared" si="1"/>
        <v>0</v>
      </c>
    </row>
    <row r="46" spans="2:8" x14ac:dyDescent="0.2">
      <c r="B46" s="42"/>
      <c r="C46" s="67"/>
      <c r="D46" s="17"/>
      <c r="E46" s="18"/>
      <c r="F46" s="19"/>
      <c r="G46" s="20">
        <f t="shared" si="0"/>
        <v>0</v>
      </c>
      <c r="H46" s="18">
        <f t="shared" si="1"/>
        <v>0</v>
      </c>
    </row>
    <row r="47" spans="2:8" x14ac:dyDescent="0.2">
      <c r="B47" s="42"/>
      <c r="C47" s="67"/>
      <c r="D47" s="17"/>
      <c r="E47" s="18"/>
      <c r="F47" s="19"/>
      <c r="G47" s="20">
        <f t="shared" si="0"/>
        <v>0</v>
      </c>
      <c r="H47" s="18">
        <f t="shared" si="1"/>
        <v>0</v>
      </c>
    </row>
    <row r="48" spans="2:8" x14ac:dyDescent="0.2">
      <c r="B48" s="42"/>
      <c r="C48" s="67"/>
      <c r="D48" s="17"/>
      <c r="E48" s="18"/>
      <c r="F48" s="19"/>
      <c r="G48" s="20">
        <f t="shared" si="0"/>
        <v>0</v>
      </c>
      <c r="H48" s="18">
        <f t="shared" si="1"/>
        <v>0</v>
      </c>
    </row>
    <row r="49" spans="2:8" x14ac:dyDescent="0.2">
      <c r="B49" s="42"/>
      <c r="C49" s="67"/>
      <c r="D49" s="17"/>
      <c r="E49" s="18"/>
      <c r="F49" s="19"/>
      <c r="G49" s="20">
        <f t="shared" si="0"/>
        <v>0</v>
      </c>
      <c r="H49" s="18">
        <f t="shared" si="1"/>
        <v>0</v>
      </c>
    </row>
    <row r="50" spans="2:8" x14ac:dyDescent="0.2">
      <c r="B50" s="42"/>
      <c r="C50" s="67"/>
      <c r="D50" s="17"/>
      <c r="E50" s="18"/>
      <c r="F50" s="19"/>
      <c r="G50" s="20">
        <f t="shared" si="0"/>
        <v>0</v>
      </c>
      <c r="H50" s="18">
        <f t="shared" si="1"/>
        <v>0</v>
      </c>
    </row>
    <row r="51" spans="2:8" x14ac:dyDescent="0.2">
      <c r="B51" s="42"/>
      <c r="C51" s="67"/>
      <c r="D51" s="17"/>
      <c r="E51" s="18"/>
      <c r="F51" s="19"/>
      <c r="G51" s="20">
        <f t="shared" si="0"/>
        <v>0</v>
      </c>
      <c r="H51" s="18">
        <f t="shared" si="1"/>
        <v>0</v>
      </c>
    </row>
    <row r="52" spans="2:8" x14ac:dyDescent="0.2">
      <c r="B52" s="42"/>
      <c r="C52" s="67"/>
      <c r="D52" s="17"/>
      <c r="E52" s="18"/>
      <c r="F52" s="19"/>
      <c r="G52" s="20">
        <f t="shared" si="0"/>
        <v>0</v>
      </c>
      <c r="H52" s="18">
        <f t="shared" si="1"/>
        <v>0</v>
      </c>
    </row>
    <row r="53" spans="2:8" x14ac:dyDescent="0.2">
      <c r="B53" s="42"/>
      <c r="C53" s="67"/>
      <c r="D53" s="17"/>
      <c r="E53" s="18"/>
      <c r="F53" s="19"/>
      <c r="G53" s="20">
        <f t="shared" si="0"/>
        <v>0</v>
      </c>
      <c r="H53" s="18">
        <f t="shared" si="1"/>
        <v>0</v>
      </c>
    </row>
    <row r="54" spans="2:8" x14ac:dyDescent="0.2">
      <c r="B54" s="42"/>
      <c r="C54" s="67"/>
      <c r="D54" s="17"/>
      <c r="E54" s="18"/>
      <c r="F54" s="19"/>
      <c r="G54" s="20">
        <f t="shared" si="0"/>
        <v>0</v>
      </c>
      <c r="H54" s="18">
        <f t="shared" si="1"/>
        <v>0</v>
      </c>
    </row>
    <row r="55" spans="2:8" x14ac:dyDescent="0.2">
      <c r="B55" s="42"/>
      <c r="C55" s="67"/>
      <c r="D55" s="17"/>
      <c r="E55" s="18"/>
      <c r="F55" s="19"/>
      <c r="G55" s="20">
        <f t="shared" si="0"/>
        <v>0</v>
      </c>
      <c r="H55" s="18">
        <f t="shared" si="1"/>
        <v>0</v>
      </c>
    </row>
    <row r="56" spans="2:8" x14ac:dyDescent="0.2">
      <c r="B56" s="16"/>
      <c r="C56" s="67"/>
      <c r="D56" s="17"/>
      <c r="E56" s="18"/>
      <c r="F56" s="19"/>
      <c r="G56" s="20">
        <f t="shared" si="0"/>
        <v>0</v>
      </c>
      <c r="H56" s="18">
        <f t="shared" si="1"/>
        <v>0</v>
      </c>
    </row>
    <row r="57" spans="2:8" x14ac:dyDescent="0.2">
      <c r="B57" s="16"/>
      <c r="C57" s="67"/>
      <c r="D57" s="17"/>
      <c r="E57" s="18"/>
      <c r="F57" s="19"/>
      <c r="G57" s="20">
        <f t="shared" si="0"/>
        <v>0</v>
      </c>
      <c r="H57" s="18">
        <f t="shared" si="1"/>
        <v>0</v>
      </c>
    </row>
    <row r="58" spans="2:8" x14ac:dyDescent="0.2">
      <c r="B58" s="16"/>
      <c r="C58" s="67"/>
      <c r="D58" s="17"/>
      <c r="E58" s="18"/>
      <c r="F58" s="19"/>
      <c r="G58" s="20">
        <f t="shared" si="0"/>
        <v>0</v>
      </c>
      <c r="H58" s="18">
        <f t="shared" si="1"/>
        <v>0</v>
      </c>
    </row>
    <row r="59" spans="2:8" x14ac:dyDescent="0.2">
      <c r="B59" s="16"/>
      <c r="C59" s="67"/>
      <c r="D59" s="17"/>
      <c r="E59" s="18"/>
      <c r="F59" s="19"/>
      <c r="G59" s="20">
        <f t="shared" si="0"/>
        <v>0</v>
      </c>
      <c r="H59" s="18">
        <f t="shared" si="1"/>
        <v>0</v>
      </c>
    </row>
    <row r="60" spans="2:8" x14ac:dyDescent="0.2">
      <c r="B60" s="16"/>
      <c r="C60" s="67"/>
      <c r="D60" s="17"/>
      <c r="E60" s="18"/>
      <c r="F60" s="19"/>
      <c r="G60" s="63">
        <f t="shared" si="0"/>
        <v>0</v>
      </c>
      <c r="H60" s="18">
        <f t="shared" si="1"/>
        <v>0</v>
      </c>
    </row>
    <row r="61" spans="2:8" x14ac:dyDescent="0.2">
      <c r="B61" s="16"/>
      <c r="C61" s="67"/>
      <c r="D61" s="17"/>
      <c r="E61" s="18"/>
      <c r="F61" s="19"/>
      <c r="G61" s="63">
        <f t="shared" si="0"/>
        <v>0</v>
      </c>
      <c r="H61" s="18">
        <f t="shared" si="1"/>
        <v>0</v>
      </c>
    </row>
    <row r="62" spans="2:8" x14ac:dyDescent="0.2">
      <c r="B62" s="16"/>
      <c r="C62" s="67"/>
      <c r="D62" s="17"/>
      <c r="E62" s="18">
        <f>+D62*C62</f>
        <v>0</v>
      </c>
      <c r="F62" s="19"/>
      <c r="G62" s="63">
        <f t="shared" si="0"/>
        <v>0</v>
      </c>
      <c r="H62" s="18">
        <f t="shared" si="1"/>
        <v>0</v>
      </c>
    </row>
    <row r="63" spans="2:8" ht="13.5" thickBot="1" x14ac:dyDescent="0.25">
      <c r="B63" s="21"/>
      <c r="C63" s="22" t="s">
        <v>23</v>
      </c>
      <c r="D63" s="23"/>
      <c r="E63" s="24"/>
      <c r="F63" s="25"/>
      <c r="G63" s="63">
        <f t="shared" si="0"/>
        <v>0</v>
      </c>
      <c r="H63" s="26">
        <f t="shared" si="1"/>
        <v>0</v>
      </c>
    </row>
    <row r="64" spans="2:8" ht="13.5" thickBot="1" x14ac:dyDescent="0.25">
      <c r="B64" s="7"/>
      <c r="C64" s="27"/>
      <c r="D64" s="28" t="s">
        <v>24</v>
      </c>
      <c r="E64" s="29"/>
      <c r="F64" s="27"/>
      <c r="G64" s="28" t="s">
        <v>24</v>
      </c>
      <c r="H64" s="30">
        <f>+SUM(H24:H63)</f>
        <v>0</v>
      </c>
    </row>
    <row r="65" spans="2:8" ht="29.25" customHeight="1" thickBot="1" x14ac:dyDescent="0.25">
      <c r="B65" s="7"/>
      <c r="C65" s="27"/>
      <c r="D65" s="31" t="s">
        <v>25</v>
      </c>
      <c r="E65" s="32"/>
      <c r="F65" s="27"/>
      <c r="G65" s="33" t="s">
        <v>25</v>
      </c>
      <c r="H65" s="34"/>
    </row>
    <row r="66" spans="2:8" ht="16.5" thickBot="1" x14ac:dyDescent="0.3">
      <c r="B66" s="203" t="s">
        <v>43</v>
      </c>
      <c r="C66" s="203"/>
      <c r="D66" s="203"/>
      <c r="E66" s="203"/>
      <c r="F66" s="203"/>
      <c r="G66" s="203"/>
      <c r="H66" s="203"/>
    </row>
    <row r="67" spans="2:8" ht="13.5" thickBot="1" x14ac:dyDescent="0.25">
      <c r="B67" s="35"/>
      <c r="C67" s="36"/>
      <c r="D67" s="37" t="s">
        <v>12</v>
      </c>
      <c r="E67" s="38"/>
      <c r="F67" s="39"/>
      <c r="G67" s="11" t="s">
        <v>13</v>
      </c>
      <c r="H67" s="40"/>
    </row>
    <row r="68" spans="2:8" x14ac:dyDescent="0.2">
      <c r="B68" s="13" t="s">
        <v>19</v>
      </c>
      <c r="C68" s="13" t="s">
        <v>20</v>
      </c>
      <c r="D68" s="13" t="s">
        <v>21</v>
      </c>
      <c r="E68" s="13" t="s">
        <v>22</v>
      </c>
      <c r="F68" s="13" t="s">
        <v>20</v>
      </c>
      <c r="G68" s="41" t="s">
        <v>21</v>
      </c>
      <c r="H68" s="13" t="s">
        <v>22</v>
      </c>
    </row>
    <row r="69" spans="2:8" ht="13.5" customHeight="1" x14ac:dyDescent="0.2">
      <c r="B69" s="42"/>
      <c r="C69" s="17"/>
      <c r="D69" s="17"/>
      <c r="E69" s="18"/>
      <c r="F69" s="17"/>
      <c r="G69" s="43">
        <f t="shared" ref="G69:G109" si="2">D69</f>
        <v>0</v>
      </c>
      <c r="H69" s="44">
        <f t="shared" ref="H69:H110" si="3">+G69*F69</f>
        <v>0</v>
      </c>
    </row>
    <row r="70" spans="2:8" ht="13.5" customHeight="1" x14ac:dyDescent="0.2">
      <c r="B70" s="42"/>
      <c r="C70" s="17"/>
      <c r="D70" s="17"/>
      <c r="E70" s="18"/>
      <c r="F70" s="17"/>
      <c r="G70" s="43">
        <f t="shared" si="2"/>
        <v>0</v>
      </c>
      <c r="H70" s="44">
        <f t="shared" si="3"/>
        <v>0</v>
      </c>
    </row>
    <row r="71" spans="2:8" ht="13.5" customHeight="1" x14ac:dyDescent="0.2">
      <c r="B71" s="42"/>
      <c r="C71" s="17"/>
      <c r="D71" s="17"/>
      <c r="E71" s="18"/>
      <c r="F71" s="17"/>
      <c r="G71" s="43">
        <f t="shared" si="2"/>
        <v>0</v>
      </c>
      <c r="H71" s="44">
        <f t="shared" si="3"/>
        <v>0</v>
      </c>
    </row>
    <row r="72" spans="2:8" ht="13.5" customHeight="1" x14ac:dyDescent="0.2">
      <c r="B72" s="42"/>
      <c r="C72" s="17"/>
      <c r="D72" s="17"/>
      <c r="E72" s="18"/>
      <c r="F72" s="17"/>
      <c r="G72" s="43">
        <f t="shared" si="2"/>
        <v>0</v>
      </c>
      <c r="H72" s="44">
        <f t="shared" si="3"/>
        <v>0</v>
      </c>
    </row>
    <row r="73" spans="2:8" ht="13.5" customHeight="1" x14ac:dyDescent="0.2">
      <c r="B73" s="42"/>
      <c r="C73" s="17"/>
      <c r="D73" s="17"/>
      <c r="E73" s="18"/>
      <c r="F73" s="17"/>
      <c r="G73" s="43">
        <f t="shared" si="2"/>
        <v>0</v>
      </c>
      <c r="H73" s="44">
        <f t="shared" si="3"/>
        <v>0</v>
      </c>
    </row>
    <row r="74" spans="2:8" ht="13.5" customHeight="1" x14ac:dyDescent="0.2">
      <c r="B74" s="42"/>
      <c r="C74" s="17"/>
      <c r="D74" s="17"/>
      <c r="E74" s="18"/>
      <c r="F74" s="17"/>
      <c r="G74" s="43">
        <f t="shared" si="2"/>
        <v>0</v>
      </c>
      <c r="H74" s="44">
        <f t="shared" si="3"/>
        <v>0</v>
      </c>
    </row>
    <row r="75" spans="2:8" x14ac:dyDescent="0.2">
      <c r="B75" s="42"/>
      <c r="C75" s="17"/>
      <c r="D75" s="17"/>
      <c r="E75" s="18"/>
      <c r="F75" s="17"/>
      <c r="G75" s="43">
        <f t="shared" si="2"/>
        <v>0</v>
      </c>
      <c r="H75" s="44">
        <f t="shared" si="3"/>
        <v>0</v>
      </c>
    </row>
    <row r="76" spans="2:8" x14ac:dyDescent="0.2">
      <c r="B76" s="42"/>
      <c r="C76" s="17"/>
      <c r="D76" s="17"/>
      <c r="E76" s="18"/>
      <c r="F76" s="17"/>
      <c r="G76" s="43">
        <f t="shared" si="2"/>
        <v>0</v>
      </c>
      <c r="H76" s="44">
        <f t="shared" si="3"/>
        <v>0</v>
      </c>
    </row>
    <row r="77" spans="2:8" x14ac:dyDescent="0.2">
      <c r="B77" s="42"/>
      <c r="C77" s="17"/>
      <c r="D77" s="17"/>
      <c r="E77" s="18"/>
      <c r="F77" s="17"/>
      <c r="G77" s="43">
        <f t="shared" si="2"/>
        <v>0</v>
      </c>
      <c r="H77" s="44">
        <f t="shared" si="3"/>
        <v>0</v>
      </c>
    </row>
    <row r="78" spans="2:8" x14ac:dyDescent="0.2">
      <c r="B78" s="42"/>
      <c r="C78" s="17"/>
      <c r="D78" s="17"/>
      <c r="E78" s="18"/>
      <c r="F78" s="17"/>
      <c r="G78" s="43">
        <f t="shared" si="2"/>
        <v>0</v>
      </c>
      <c r="H78" s="44">
        <f t="shared" si="3"/>
        <v>0</v>
      </c>
    </row>
    <row r="79" spans="2:8" x14ac:dyDescent="0.2">
      <c r="B79" s="42"/>
      <c r="C79" s="17"/>
      <c r="D79" s="17"/>
      <c r="E79" s="18"/>
      <c r="F79" s="17"/>
      <c r="G79" s="43">
        <f t="shared" si="2"/>
        <v>0</v>
      </c>
      <c r="H79" s="44">
        <f t="shared" si="3"/>
        <v>0</v>
      </c>
    </row>
    <row r="80" spans="2:8" x14ac:dyDescent="0.2">
      <c r="B80" s="42"/>
      <c r="C80" s="17"/>
      <c r="D80" s="17"/>
      <c r="E80" s="18"/>
      <c r="F80" s="17"/>
      <c r="G80" s="43">
        <f t="shared" si="2"/>
        <v>0</v>
      </c>
      <c r="H80" s="44">
        <f t="shared" si="3"/>
        <v>0</v>
      </c>
    </row>
    <row r="81" spans="2:8" x14ac:dyDescent="0.2">
      <c r="B81" s="42"/>
      <c r="C81" s="17"/>
      <c r="D81" s="17"/>
      <c r="E81" s="18"/>
      <c r="F81" s="17"/>
      <c r="G81" s="43">
        <f t="shared" si="2"/>
        <v>0</v>
      </c>
      <c r="H81" s="44"/>
    </row>
    <row r="82" spans="2:8" x14ac:dyDescent="0.2">
      <c r="B82" s="42"/>
      <c r="C82" s="17"/>
      <c r="D82" s="17"/>
      <c r="E82" s="18"/>
      <c r="F82" s="17"/>
      <c r="G82" s="43">
        <f t="shared" si="2"/>
        <v>0</v>
      </c>
      <c r="H82" s="44">
        <f t="shared" si="3"/>
        <v>0</v>
      </c>
    </row>
    <row r="83" spans="2:8" x14ac:dyDescent="0.2">
      <c r="B83" s="42"/>
      <c r="C83" s="17"/>
      <c r="D83" s="17"/>
      <c r="E83" s="18"/>
      <c r="F83" s="17"/>
      <c r="G83" s="43">
        <f t="shared" si="2"/>
        <v>0</v>
      </c>
      <c r="H83" s="44">
        <f t="shared" si="3"/>
        <v>0</v>
      </c>
    </row>
    <row r="84" spans="2:8" x14ac:dyDescent="0.2">
      <c r="B84" s="42"/>
      <c r="C84" s="17"/>
      <c r="D84" s="17"/>
      <c r="E84" s="18"/>
      <c r="F84" s="17"/>
      <c r="G84" s="43">
        <f t="shared" si="2"/>
        <v>0</v>
      </c>
      <c r="H84" s="44">
        <f t="shared" si="3"/>
        <v>0</v>
      </c>
    </row>
    <row r="85" spans="2:8" x14ac:dyDescent="0.2">
      <c r="B85" s="42"/>
      <c r="C85" s="17"/>
      <c r="D85" s="17"/>
      <c r="E85" s="18"/>
      <c r="F85" s="17"/>
      <c r="G85" s="43">
        <f t="shared" si="2"/>
        <v>0</v>
      </c>
      <c r="H85" s="44">
        <f t="shared" si="3"/>
        <v>0</v>
      </c>
    </row>
    <row r="86" spans="2:8" x14ac:dyDescent="0.2">
      <c r="B86" s="42"/>
      <c r="C86" s="17"/>
      <c r="D86" s="17"/>
      <c r="E86" s="18"/>
      <c r="F86" s="17"/>
      <c r="G86" s="43">
        <f t="shared" si="2"/>
        <v>0</v>
      </c>
      <c r="H86" s="44">
        <f t="shared" si="3"/>
        <v>0</v>
      </c>
    </row>
    <row r="87" spans="2:8" x14ac:dyDescent="0.2">
      <c r="B87" s="42"/>
      <c r="C87" s="17"/>
      <c r="D87" s="17"/>
      <c r="E87" s="18"/>
      <c r="F87" s="17"/>
      <c r="G87" s="43">
        <f t="shared" si="2"/>
        <v>0</v>
      </c>
      <c r="H87" s="44">
        <f t="shared" si="3"/>
        <v>0</v>
      </c>
    </row>
    <row r="88" spans="2:8" x14ac:dyDescent="0.2">
      <c r="B88" s="42"/>
      <c r="C88" s="17"/>
      <c r="D88" s="17"/>
      <c r="E88" s="18"/>
      <c r="F88" s="17"/>
      <c r="G88" s="43">
        <f t="shared" si="2"/>
        <v>0</v>
      </c>
      <c r="H88" s="44">
        <f t="shared" si="3"/>
        <v>0</v>
      </c>
    </row>
    <row r="89" spans="2:8" x14ac:dyDescent="0.2">
      <c r="B89" s="42"/>
      <c r="C89" s="17"/>
      <c r="D89" s="17"/>
      <c r="E89" s="18"/>
      <c r="F89" s="17"/>
      <c r="G89" s="43">
        <f t="shared" si="2"/>
        <v>0</v>
      </c>
      <c r="H89" s="44">
        <f t="shared" si="3"/>
        <v>0</v>
      </c>
    </row>
    <row r="90" spans="2:8" x14ac:dyDescent="0.2">
      <c r="B90" s="42"/>
      <c r="C90" s="17"/>
      <c r="D90" s="17"/>
      <c r="E90" s="18"/>
      <c r="F90" s="17"/>
      <c r="G90" s="43">
        <f t="shared" si="2"/>
        <v>0</v>
      </c>
      <c r="H90" s="44">
        <f t="shared" si="3"/>
        <v>0</v>
      </c>
    </row>
    <row r="91" spans="2:8" x14ac:dyDescent="0.2">
      <c r="B91" s="42"/>
      <c r="C91" s="17"/>
      <c r="D91" s="17"/>
      <c r="E91" s="18"/>
      <c r="F91" s="17"/>
      <c r="G91" s="43">
        <f t="shared" si="2"/>
        <v>0</v>
      </c>
      <c r="H91" s="44">
        <f t="shared" si="3"/>
        <v>0</v>
      </c>
    </row>
    <row r="92" spans="2:8" x14ac:dyDescent="0.2">
      <c r="B92" s="42"/>
      <c r="C92" s="17"/>
      <c r="D92" s="17"/>
      <c r="E92" s="18"/>
      <c r="F92" s="17"/>
      <c r="G92" s="43">
        <f t="shared" si="2"/>
        <v>0</v>
      </c>
      <c r="H92" s="44">
        <f t="shared" si="3"/>
        <v>0</v>
      </c>
    </row>
    <row r="93" spans="2:8" x14ac:dyDescent="0.2">
      <c r="B93" s="42"/>
      <c r="C93" s="17"/>
      <c r="D93" s="17"/>
      <c r="E93" s="18"/>
      <c r="F93" s="17"/>
      <c r="G93" s="43">
        <f t="shared" si="2"/>
        <v>0</v>
      </c>
      <c r="H93" s="44">
        <f t="shared" si="3"/>
        <v>0</v>
      </c>
    </row>
    <row r="94" spans="2:8" x14ac:dyDescent="0.2">
      <c r="B94" s="42"/>
      <c r="C94" s="17"/>
      <c r="D94" s="17"/>
      <c r="E94" s="18"/>
      <c r="F94" s="17"/>
      <c r="G94" s="43">
        <f t="shared" si="2"/>
        <v>0</v>
      </c>
      <c r="H94" s="44">
        <f t="shared" si="3"/>
        <v>0</v>
      </c>
    </row>
    <row r="95" spans="2:8" x14ac:dyDescent="0.2">
      <c r="B95" s="42"/>
      <c r="C95" s="17"/>
      <c r="D95" s="17"/>
      <c r="E95" s="18"/>
      <c r="F95" s="17"/>
      <c r="G95" s="43">
        <f t="shared" si="2"/>
        <v>0</v>
      </c>
      <c r="H95" s="44">
        <f t="shared" si="3"/>
        <v>0</v>
      </c>
    </row>
    <row r="96" spans="2:8" x14ac:dyDescent="0.2">
      <c r="B96" s="42"/>
      <c r="C96" s="17"/>
      <c r="D96" s="17"/>
      <c r="E96" s="18"/>
      <c r="F96" s="17"/>
      <c r="G96" s="43">
        <f t="shared" si="2"/>
        <v>0</v>
      </c>
      <c r="H96" s="44">
        <f t="shared" si="3"/>
        <v>0</v>
      </c>
    </row>
    <row r="97" spans="2:8" x14ac:dyDescent="0.2">
      <c r="B97" s="42"/>
      <c r="C97" s="17"/>
      <c r="D97" s="17"/>
      <c r="E97" s="18"/>
      <c r="F97" s="17"/>
      <c r="G97" s="43">
        <f t="shared" si="2"/>
        <v>0</v>
      </c>
      <c r="H97" s="44">
        <f t="shared" si="3"/>
        <v>0</v>
      </c>
    </row>
    <row r="98" spans="2:8" x14ac:dyDescent="0.2">
      <c r="B98" s="42"/>
      <c r="C98" s="17"/>
      <c r="D98" s="17"/>
      <c r="E98" s="18"/>
      <c r="F98" s="17"/>
      <c r="G98" s="43">
        <f t="shared" ref="G98:G108" si="4">D98</f>
        <v>0</v>
      </c>
      <c r="H98" s="44">
        <f t="shared" si="3"/>
        <v>0</v>
      </c>
    </row>
    <row r="99" spans="2:8" x14ac:dyDescent="0.2">
      <c r="B99" s="42"/>
      <c r="C99" s="17"/>
      <c r="D99" s="17"/>
      <c r="E99" s="18"/>
      <c r="F99" s="17"/>
      <c r="G99" s="43">
        <f t="shared" si="4"/>
        <v>0</v>
      </c>
      <c r="H99" s="44">
        <f t="shared" si="3"/>
        <v>0</v>
      </c>
    </row>
    <row r="100" spans="2:8" x14ac:dyDescent="0.2">
      <c r="B100" s="42"/>
      <c r="C100" s="17"/>
      <c r="D100" s="17"/>
      <c r="E100" s="18"/>
      <c r="F100" s="17"/>
      <c r="G100" s="43">
        <f t="shared" si="4"/>
        <v>0</v>
      </c>
      <c r="H100" s="44">
        <f t="shared" si="3"/>
        <v>0</v>
      </c>
    </row>
    <row r="101" spans="2:8" x14ac:dyDescent="0.2">
      <c r="B101" s="42"/>
      <c r="C101" s="17"/>
      <c r="D101" s="17"/>
      <c r="E101" s="18"/>
      <c r="F101" s="17"/>
      <c r="G101" s="43">
        <f t="shared" si="4"/>
        <v>0</v>
      </c>
      <c r="H101" s="44">
        <f t="shared" si="3"/>
        <v>0</v>
      </c>
    </row>
    <row r="102" spans="2:8" x14ac:dyDescent="0.2">
      <c r="B102" s="42"/>
      <c r="C102" s="17"/>
      <c r="D102" s="17"/>
      <c r="E102" s="18"/>
      <c r="F102" s="17"/>
      <c r="G102" s="43">
        <f t="shared" si="4"/>
        <v>0</v>
      </c>
      <c r="H102" s="44">
        <f t="shared" si="3"/>
        <v>0</v>
      </c>
    </row>
    <row r="103" spans="2:8" x14ac:dyDescent="0.2">
      <c r="B103" s="42"/>
      <c r="C103" s="17"/>
      <c r="D103" s="17"/>
      <c r="E103" s="18"/>
      <c r="F103" s="17"/>
      <c r="G103" s="43">
        <f t="shared" si="4"/>
        <v>0</v>
      </c>
      <c r="H103" s="44">
        <f t="shared" si="3"/>
        <v>0</v>
      </c>
    </row>
    <row r="104" spans="2:8" x14ac:dyDescent="0.2">
      <c r="B104" s="42"/>
      <c r="C104" s="17"/>
      <c r="D104" s="17"/>
      <c r="E104" s="18"/>
      <c r="F104" s="17"/>
      <c r="G104" s="43">
        <f t="shared" si="4"/>
        <v>0</v>
      </c>
      <c r="H104" s="44">
        <f t="shared" si="3"/>
        <v>0</v>
      </c>
    </row>
    <row r="105" spans="2:8" x14ac:dyDescent="0.2">
      <c r="B105" s="42"/>
      <c r="C105" s="17"/>
      <c r="D105" s="17"/>
      <c r="E105" s="18"/>
      <c r="F105" s="17"/>
      <c r="G105" s="43">
        <f t="shared" si="4"/>
        <v>0</v>
      </c>
      <c r="H105" s="44">
        <f t="shared" si="3"/>
        <v>0</v>
      </c>
    </row>
    <row r="106" spans="2:8" x14ac:dyDescent="0.2">
      <c r="B106" s="42"/>
      <c r="C106" s="17"/>
      <c r="D106" s="17"/>
      <c r="E106" s="18"/>
      <c r="F106" s="17"/>
      <c r="G106" s="43">
        <f t="shared" si="4"/>
        <v>0</v>
      </c>
      <c r="H106" s="44">
        <f t="shared" si="3"/>
        <v>0</v>
      </c>
    </row>
    <row r="107" spans="2:8" x14ac:dyDescent="0.2">
      <c r="B107" s="42"/>
      <c r="C107" s="17"/>
      <c r="D107" s="17"/>
      <c r="E107" s="18"/>
      <c r="F107" s="17"/>
      <c r="G107" s="43">
        <f t="shared" si="4"/>
        <v>0</v>
      </c>
      <c r="H107" s="44">
        <f t="shared" si="3"/>
        <v>0</v>
      </c>
    </row>
    <row r="108" spans="2:8" x14ac:dyDescent="0.2">
      <c r="B108" s="42"/>
      <c r="C108" s="17"/>
      <c r="D108" s="17"/>
      <c r="E108" s="18"/>
      <c r="F108" s="17"/>
      <c r="G108" s="43">
        <f t="shared" si="4"/>
        <v>0</v>
      </c>
      <c r="H108" s="44">
        <f t="shared" si="3"/>
        <v>0</v>
      </c>
    </row>
    <row r="109" spans="2:8" x14ac:dyDescent="0.2">
      <c r="B109" s="69"/>
      <c r="C109" s="17"/>
      <c r="D109" s="17"/>
      <c r="E109" s="18"/>
      <c r="F109" s="17"/>
      <c r="G109" s="43">
        <f t="shared" si="2"/>
        <v>0</v>
      </c>
      <c r="H109" s="44">
        <f t="shared" si="3"/>
        <v>0</v>
      </c>
    </row>
    <row r="110" spans="2:8" ht="13.5" thickBot="1" x14ac:dyDescent="0.25">
      <c r="B110" s="42"/>
      <c r="C110" s="45" t="s">
        <v>23</v>
      </c>
      <c r="D110" s="46"/>
      <c r="E110" s="18">
        <f>+SUM(E69:E109)</f>
        <v>0</v>
      </c>
      <c r="F110" s="17"/>
      <c r="G110" s="47"/>
      <c r="H110" s="44">
        <f t="shared" si="3"/>
        <v>0</v>
      </c>
    </row>
    <row r="111" spans="2:8" ht="13.5" thickBot="1" x14ac:dyDescent="0.25">
      <c r="B111" s="7"/>
      <c r="C111" s="27"/>
      <c r="D111" s="33" t="s">
        <v>24</v>
      </c>
      <c r="E111" s="18">
        <f>E110</f>
        <v>0</v>
      </c>
      <c r="F111" s="27"/>
      <c r="G111" s="48" t="s">
        <v>24</v>
      </c>
      <c r="H111" s="49">
        <f>SUM(H68:H110)</f>
        <v>0</v>
      </c>
    </row>
    <row r="112" spans="2:8" ht="13.5" thickBot="1" x14ac:dyDescent="0.25">
      <c r="B112" s="7"/>
      <c r="C112" s="27"/>
      <c r="D112" s="33" t="s">
        <v>25</v>
      </c>
      <c r="E112" s="18"/>
      <c r="F112" s="27"/>
      <c r="G112" s="33" t="s">
        <v>25</v>
      </c>
      <c r="H112" s="64"/>
    </row>
    <row r="113" spans="2:8" x14ac:dyDescent="0.2">
      <c r="B113" s="7"/>
      <c r="C113" s="7"/>
      <c r="D113" s="7"/>
      <c r="E113" s="51"/>
      <c r="F113" s="7"/>
      <c r="G113" s="7"/>
    </row>
    <row r="114" spans="2:8" x14ac:dyDescent="0.2">
      <c r="B114" s="7"/>
      <c r="C114" s="7"/>
      <c r="D114" s="7"/>
      <c r="E114" s="51"/>
      <c r="F114" s="7"/>
      <c r="G114" s="7"/>
    </row>
    <row r="115" spans="2:8" ht="16.5" thickBot="1" x14ac:dyDescent="0.3">
      <c r="B115" s="203" t="s">
        <v>44</v>
      </c>
      <c r="C115" s="203"/>
      <c r="D115" s="203"/>
      <c r="E115" s="203"/>
      <c r="F115" s="203"/>
      <c r="G115" s="203"/>
      <c r="H115" s="203"/>
    </row>
    <row r="116" spans="2:8" ht="13.5" thickBot="1" x14ac:dyDescent="0.25">
      <c r="B116" s="35"/>
      <c r="C116" s="36"/>
      <c r="D116" s="37" t="s">
        <v>12</v>
      </c>
      <c r="E116" s="38"/>
      <c r="F116" s="39"/>
      <c r="G116" s="11" t="s">
        <v>13</v>
      </c>
      <c r="H116" s="40"/>
    </row>
    <row r="117" spans="2:8" x14ac:dyDescent="0.2">
      <c r="B117" s="13" t="s">
        <v>19</v>
      </c>
      <c r="C117" s="13" t="s">
        <v>20</v>
      </c>
      <c r="D117" s="13" t="s">
        <v>21</v>
      </c>
      <c r="E117" s="13" t="s">
        <v>22</v>
      </c>
      <c r="F117" s="13" t="s">
        <v>20</v>
      </c>
      <c r="G117" s="13" t="s">
        <v>21</v>
      </c>
      <c r="H117" s="52" t="s">
        <v>22</v>
      </c>
    </row>
    <row r="118" spans="2:8" x14ac:dyDescent="0.2">
      <c r="B118" s="42"/>
      <c r="C118" s="17"/>
      <c r="D118" s="17"/>
      <c r="E118" s="44"/>
      <c r="F118" s="17"/>
      <c r="G118" s="20">
        <f t="shared" ref="G118:G152" si="5">D118</f>
        <v>0</v>
      </c>
      <c r="H118" s="44">
        <f t="shared" ref="H118:H153" si="6">+G118*F118</f>
        <v>0</v>
      </c>
    </row>
    <row r="119" spans="2:8" x14ac:dyDescent="0.2">
      <c r="B119" s="42"/>
      <c r="C119" s="17"/>
      <c r="D119" s="17"/>
      <c r="E119" s="44"/>
      <c r="F119" s="17"/>
      <c r="G119" s="20">
        <f t="shared" si="5"/>
        <v>0</v>
      </c>
      <c r="H119" s="44">
        <f t="shared" si="6"/>
        <v>0</v>
      </c>
    </row>
    <row r="120" spans="2:8" x14ac:dyDescent="0.2">
      <c r="B120" s="42"/>
      <c r="C120" s="17"/>
      <c r="D120" s="17"/>
      <c r="E120" s="44"/>
      <c r="F120" s="17"/>
      <c r="G120" s="20">
        <f t="shared" si="5"/>
        <v>0</v>
      </c>
      <c r="H120" s="44">
        <f t="shared" si="6"/>
        <v>0</v>
      </c>
    </row>
    <row r="121" spans="2:8" x14ac:dyDescent="0.2">
      <c r="B121" s="42"/>
      <c r="C121" s="17"/>
      <c r="D121" s="17"/>
      <c r="E121" s="44"/>
      <c r="F121" s="17"/>
      <c r="G121" s="20">
        <f t="shared" si="5"/>
        <v>0</v>
      </c>
      <c r="H121" s="44">
        <f t="shared" si="6"/>
        <v>0</v>
      </c>
    </row>
    <row r="122" spans="2:8" x14ac:dyDescent="0.2">
      <c r="B122" s="42"/>
      <c r="C122" s="17"/>
      <c r="D122" s="17"/>
      <c r="E122" s="44"/>
      <c r="F122" s="17"/>
      <c r="G122" s="20">
        <f t="shared" si="5"/>
        <v>0</v>
      </c>
      <c r="H122" s="44">
        <f t="shared" si="6"/>
        <v>0</v>
      </c>
    </row>
    <row r="123" spans="2:8" x14ac:dyDescent="0.2">
      <c r="B123" s="42"/>
      <c r="C123" s="17"/>
      <c r="D123" s="17"/>
      <c r="E123" s="44"/>
      <c r="F123" s="17"/>
      <c r="G123" s="20">
        <f t="shared" si="5"/>
        <v>0</v>
      </c>
      <c r="H123" s="44">
        <f t="shared" si="6"/>
        <v>0</v>
      </c>
    </row>
    <row r="124" spans="2:8" x14ac:dyDescent="0.2">
      <c r="B124" s="42"/>
      <c r="C124" s="17"/>
      <c r="D124" s="17"/>
      <c r="E124" s="44"/>
      <c r="F124" s="17"/>
      <c r="G124" s="20">
        <f t="shared" si="5"/>
        <v>0</v>
      </c>
      <c r="H124" s="44">
        <f t="shared" si="6"/>
        <v>0</v>
      </c>
    </row>
    <row r="125" spans="2:8" x14ac:dyDescent="0.2">
      <c r="B125" s="42"/>
      <c r="C125" s="17"/>
      <c r="D125" s="17"/>
      <c r="E125" s="44"/>
      <c r="F125" s="17"/>
      <c r="G125" s="20">
        <f t="shared" si="5"/>
        <v>0</v>
      </c>
      <c r="H125" s="44">
        <f t="shared" si="6"/>
        <v>0</v>
      </c>
    </row>
    <row r="126" spans="2:8" x14ac:dyDescent="0.2">
      <c r="B126" s="42"/>
      <c r="C126" s="17"/>
      <c r="D126" s="17"/>
      <c r="E126" s="44"/>
      <c r="F126" s="17"/>
      <c r="G126" s="20">
        <f t="shared" si="5"/>
        <v>0</v>
      </c>
      <c r="H126" s="44">
        <f t="shared" si="6"/>
        <v>0</v>
      </c>
    </row>
    <row r="127" spans="2:8" x14ac:dyDescent="0.2">
      <c r="B127" s="42"/>
      <c r="C127" s="17"/>
      <c r="D127" s="17"/>
      <c r="E127" s="44"/>
      <c r="F127" s="17"/>
      <c r="G127" s="20">
        <f t="shared" si="5"/>
        <v>0</v>
      </c>
      <c r="H127" s="44">
        <f t="shared" si="6"/>
        <v>0</v>
      </c>
    </row>
    <row r="128" spans="2:8" x14ac:dyDescent="0.2">
      <c r="B128" s="42"/>
      <c r="C128" s="17"/>
      <c r="D128" s="17"/>
      <c r="E128" s="44"/>
      <c r="F128" s="17"/>
      <c r="G128" s="20">
        <f t="shared" si="5"/>
        <v>0</v>
      </c>
      <c r="H128" s="44">
        <f t="shared" si="6"/>
        <v>0</v>
      </c>
    </row>
    <row r="129" spans="2:8" ht="12" customHeight="1" x14ac:dyDescent="0.2">
      <c r="B129" s="42"/>
      <c r="C129" s="17"/>
      <c r="D129" s="17"/>
      <c r="E129" s="44"/>
      <c r="F129" s="17"/>
      <c r="G129" s="20">
        <f t="shared" si="5"/>
        <v>0</v>
      </c>
      <c r="H129" s="44">
        <f t="shared" si="6"/>
        <v>0</v>
      </c>
    </row>
    <row r="130" spans="2:8" x14ac:dyDescent="0.2">
      <c r="B130" s="42"/>
      <c r="C130" s="17"/>
      <c r="D130" s="17"/>
      <c r="E130" s="44"/>
      <c r="F130" s="17"/>
      <c r="G130" s="20">
        <f t="shared" si="5"/>
        <v>0</v>
      </c>
      <c r="H130" s="44">
        <f t="shared" si="6"/>
        <v>0</v>
      </c>
    </row>
    <row r="131" spans="2:8" x14ac:dyDescent="0.2">
      <c r="B131" s="42"/>
      <c r="C131" s="17"/>
      <c r="D131" s="17"/>
      <c r="E131" s="44"/>
      <c r="F131" s="17"/>
      <c r="G131" s="20">
        <f t="shared" si="5"/>
        <v>0</v>
      </c>
      <c r="H131" s="44">
        <f t="shared" si="6"/>
        <v>0</v>
      </c>
    </row>
    <row r="132" spans="2:8" x14ac:dyDescent="0.2">
      <c r="B132" s="42"/>
      <c r="C132" s="17"/>
      <c r="D132" s="17"/>
      <c r="E132" s="44"/>
      <c r="F132" s="17"/>
      <c r="G132" s="20">
        <f t="shared" si="5"/>
        <v>0</v>
      </c>
      <c r="H132" s="44">
        <f t="shared" si="6"/>
        <v>0</v>
      </c>
    </row>
    <row r="133" spans="2:8" x14ac:dyDescent="0.2">
      <c r="B133" s="42"/>
      <c r="C133" s="17"/>
      <c r="D133" s="17"/>
      <c r="E133" s="44"/>
      <c r="F133" s="17"/>
      <c r="G133" s="20">
        <f t="shared" si="5"/>
        <v>0</v>
      </c>
      <c r="H133" s="44">
        <f t="shared" si="6"/>
        <v>0</v>
      </c>
    </row>
    <row r="134" spans="2:8" x14ac:dyDescent="0.2">
      <c r="B134" s="42"/>
      <c r="C134" s="17"/>
      <c r="D134" s="17"/>
      <c r="E134" s="44"/>
      <c r="F134" s="17"/>
      <c r="G134" s="20">
        <f t="shared" si="5"/>
        <v>0</v>
      </c>
      <c r="H134" s="44">
        <f t="shared" si="6"/>
        <v>0</v>
      </c>
    </row>
    <row r="135" spans="2:8" x14ac:dyDescent="0.2">
      <c r="B135" s="42"/>
      <c r="C135" s="17"/>
      <c r="D135" s="17"/>
      <c r="E135" s="44"/>
      <c r="F135" s="17"/>
      <c r="G135" s="20">
        <f t="shared" si="5"/>
        <v>0</v>
      </c>
      <c r="H135" s="44">
        <f t="shared" si="6"/>
        <v>0</v>
      </c>
    </row>
    <row r="136" spans="2:8" x14ac:dyDescent="0.2">
      <c r="B136" s="42"/>
      <c r="C136" s="17"/>
      <c r="D136" s="17"/>
      <c r="E136" s="44"/>
      <c r="F136" s="17"/>
      <c r="G136" s="20">
        <f t="shared" si="5"/>
        <v>0</v>
      </c>
      <c r="H136" s="44">
        <f t="shared" si="6"/>
        <v>0</v>
      </c>
    </row>
    <row r="137" spans="2:8" x14ac:dyDescent="0.2">
      <c r="B137" s="42"/>
      <c r="C137" s="17"/>
      <c r="D137" s="17"/>
      <c r="E137" s="44"/>
      <c r="F137" s="17"/>
      <c r="G137" s="20">
        <f t="shared" si="5"/>
        <v>0</v>
      </c>
      <c r="H137" s="44">
        <f t="shared" si="6"/>
        <v>0</v>
      </c>
    </row>
    <row r="138" spans="2:8" x14ac:dyDescent="0.2">
      <c r="B138" s="42"/>
      <c r="C138" s="17"/>
      <c r="D138" s="17"/>
      <c r="E138" s="44"/>
      <c r="F138" s="17"/>
      <c r="G138" s="20">
        <f t="shared" si="5"/>
        <v>0</v>
      </c>
      <c r="H138" s="44">
        <f t="shared" si="6"/>
        <v>0</v>
      </c>
    </row>
    <row r="139" spans="2:8" x14ac:dyDescent="0.2">
      <c r="B139" s="42"/>
      <c r="C139" s="17"/>
      <c r="D139" s="17"/>
      <c r="E139" s="44"/>
      <c r="F139" s="17"/>
      <c r="G139" s="20">
        <f t="shared" si="5"/>
        <v>0</v>
      </c>
      <c r="H139" s="44">
        <f t="shared" si="6"/>
        <v>0</v>
      </c>
    </row>
    <row r="140" spans="2:8" x14ac:dyDescent="0.2">
      <c r="B140" s="42"/>
      <c r="C140" s="17"/>
      <c r="D140" s="17"/>
      <c r="E140" s="44"/>
      <c r="F140" s="17"/>
      <c r="G140" s="20">
        <f t="shared" si="5"/>
        <v>0</v>
      </c>
      <c r="H140" s="44">
        <f t="shared" si="6"/>
        <v>0</v>
      </c>
    </row>
    <row r="141" spans="2:8" x14ac:dyDescent="0.2">
      <c r="B141" s="42"/>
      <c r="C141" s="17"/>
      <c r="D141" s="17"/>
      <c r="E141" s="44"/>
      <c r="F141" s="17"/>
      <c r="G141" s="20">
        <f t="shared" si="5"/>
        <v>0</v>
      </c>
      <c r="H141" s="44">
        <f t="shared" si="6"/>
        <v>0</v>
      </c>
    </row>
    <row r="142" spans="2:8" x14ac:dyDescent="0.2">
      <c r="B142" s="42"/>
      <c r="C142" s="17"/>
      <c r="D142" s="17"/>
      <c r="E142" s="44"/>
      <c r="F142" s="17"/>
      <c r="G142" s="20">
        <f t="shared" si="5"/>
        <v>0</v>
      </c>
      <c r="H142" s="44">
        <f t="shared" si="6"/>
        <v>0</v>
      </c>
    </row>
    <row r="143" spans="2:8" x14ac:dyDescent="0.2">
      <c r="B143" s="42"/>
      <c r="C143" s="17"/>
      <c r="D143" s="17"/>
      <c r="E143" s="44"/>
      <c r="F143" s="17"/>
      <c r="G143" s="20">
        <f t="shared" si="5"/>
        <v>0</v>
      </c>
      <c r="H143" s="44">
        <f t="shared" si="6"/>
        <v>0</v>
      </c>
    </row>
    <row r="144" spans="2:8" x14ac:dyDescent="0.2">
      <c r="B144" s="42"/>
      <c r="C144" s="17"/>
      <c r="D144" s="17"/>
      <c r="E144" s="44"/>
      <c r="F144" s="17"/>
      <c r="G144" s="20">
        <f t="shared" si="5"/>
        <v>0</v>
      </c>
      <c r="H144" s="44"/>
    </row>
    <row r="145" spans="2:8" x14ac:dyDescent="0.2">
      <c r="B145" s="42"/>
      <c r="C145" s="17"/>
      <c r="D145" s="17"/>
      <c r="E145" s="44"/>
      <c r="F145" s="17"/>
      <c r="G145" s="20">
        <f t="shared" si="5"/>
        <v>0</v>
      </c>
      <c r="H145" s="44"/>
    </row>
    <row r="146" spans="2:8" x14ac:dyDescent="0.2">
      <c r="B146" s="42"/>
      <c r="C146" s="17"/>
      <c r="D146" s="17"/>
      <c r="E146" s="44"/>
      <c r="F146" s="17"/>
      <c r="G146" s="20">
        <f t="shared" si="5"/>
        <v>0</v>
      </c>
      <c r="H146" s="44"/>
    </row>
    <row r="147" spans="2:8" x14ac:dyDescent="0.2">
      <c r="B147" s="42"/>
      <c r="C147" s="17"/>
      <c r="D147" s="17"/>
      <c r="E147" s="44"/>
      <c r="F147" s="17"/>
      <c r="G147" s="20">
        <f>D147</f>
        <v>0</v>
      </c>
      <c r="H147" s="44"/>
    </row>
    <row r="148" spans="2:8" x14ac:dyDescent="0.2">
      <c r="B148" s="42"/>
      <c r="C148" s="17"/>
      <c r="D148" s="17"/>
      <c r="E148" s="44"/>
      <c r="F148" s="17"/>
      <c r="G148" s="20">
        <f t="shared" si="5"/>
        <v>0</v>
      </c>
      <c r="H148" s="44"/>
    </row>
    <row r="149" spans="2:8" x14ac:dyDescent="0.2">
      <c r="B149" s="42"/>
      <c r="C149" s="17"/>
      <c r="D149" s="17"/>
      <c r="E149" s="44"/>
      <c r="F149" s="17"/>
      <c r="G149" s="68">
        <f>D149</f>
        <v>0</v>
      </c>
      <c r="H149" s="44"/>
    </row>
    <row r="150" spans="2:8" x14ac:dyDescent="0.2">
      <c r="B150" s="42"/>
      <c r="C150" s="17"/>
      <c r="D150" s="17"/>
      <c r="E150" s="44"/>
      <c r="F150" s="17"/>
      <c r="G150" s="20">
        <f t="shared" si="5"/>
        <v>0</v>
      </c>
      <c r="H150" s="44">
        <f t="shared" si="6"/>
        <v>0</v>
      </c>
    </row>
    <row r="151" spans="2:8" x14ac:dyDescent="0.2">
      <c r="B151" s="42"/>
      <c r="C151" s="17"/>
      <c r="D151" s="17"/>
      <c r="E151" s="44"/>
      <c r="F151" s="17"/>
      <c r="G151" s="20">
        <f t="shared" si="5"/>
        <v>0</v>
      </c>
      <c r="H151" s="44">
        <f t="shared" si="6"/>
        <v>0</v>
      </c>
    </row>
    <row r="152" spans="2:8" x14ac:dyDescent="0.2">
      <c r="B152" s="42"/>
      <c r="C152" s="17"/>
      <c r="D152" s="17"/>
      <c r="E152" s="44"/>
      <c r="F152" s="17"/>
      <c r="G152" s="20">
        <f t="shared" si="5"/>
        <v>0</v>
      </c>
      <c r="H152" s="44">
        <f t="shared" si="6"/>
        <v>0</v>
      </c>
    </row>
    <row r="153" spans="2:8" ht="13.5" thickBot="1" x14ac:dyDescent="0.25">
      <c r="B153" s="42"/>
      <c r="C153" s="45" t="s">
        <v>23</v>
      </c>
      <c r="D153" s="17"/>
      <c r="E153" s="52"/>
      <c r="F153" s="17"/>
      <c r="G153" s="17"/>
      <c r="H153" s="44">
        <f t="shared" si="6"/>
        <v>0</v>
      </c>
    </row>
    <row r="154" spans="2:8" ht="13.5" thickBot="1" x14ac:dyDescent="0.25">
      <c r="B154" s="7"/>
      <c r="C154" s="27"/>
      <c r="D154" s="33" t="s">
        <v>24</v>
      </c>
      <c r="E154" s="32"/>
      <c r="F154" s="27"/>
      <c r="G154" s="33" t="s">
        <v>24</v>
      </c>
      <c r="H154" s="49">
        <f>SUM(H118:H153)</f>
        <v>0</v>
      </c>
    </row>
    <row r="155" spans="2:8" ht="13.5" thickBot="1" x14ac:dyDescent="0.25">
      <c r="B155" s="7"/>
      <c r="C155" s="27"/>
      <c r="D155" s="33" t="s">
        <v>25</v>
      </c>
      <c r="E155" s="32"/>
      <c r="F155" s="27"/>
      <c r="G155" s="33" t="s">
        <v>25</v>
      </c>
      <c r="H155" s="34">
        <f>H154/80</f>
        <v>0</v>
      </c>
    </row>
    <row r="156" spans="2:8" x14ac:dyDescent="0.2">
      <c r="E156" s="6"/>
    </row>
    <row r="157" spans="2:8" ht="16.5" thickBot="1" x14ac:dyDescent="0.3">
      <c r="B157" s="203" t="s">
        <v>45</v>
      </c>
      <c r="C157" s="203"/>
      <c r="D157" s="203"/>
      <c r="E157" s="203"/>
      <c r="F157" s="203"/>
      <c r="G157" s="203"/>
      <c r="H157" s="203"/>
    </row>
    <row r="158" spans="2:8" ht="13.5" thickBot="1" x14ac:dyDescent="0.25">
      <c r="B158" s="35"/>
      <c r="C158" s="36"/>
      <c r="D158" s="37" t="s">
        <v>12</v>
      </c>
      <c r="E158" s="38"/>
      <c r="F158" s="39"/>
      <c r="G158" s="11" t="s">
        <v>13</v>
      </c>
      <c r="H158" s="40"/>
    </row>
    <row r="159" spans="2:8" x14ac:dyDescent="0.2">
      <c r="B159" s="13" t="s">
        <v>19</v>
      </c>
      <c r="C159" s="13" t="s">
        <v>20</v>
      </c>
      <c r="D159" s="13" t="s">
        <v>21</v>
      </c>
      <c r="E159" s="13" t="s">
        <v>22</v>
      </c>
      <c r="F159" s="13" t="s">
        <v>20</v>
      </c>
      <c r="G159" s="13" t="s">
        <v>21</v>
      </c>
      <c r="H159" s="53" t="s">
        <v>22</v>
      </c>
    </row>
    <row r="160" spans="2:8" x14ac:dyDescent="0.2">
      <c r="B160" s="42"/>
      <c r="C160" s="17"/>
      <c r="D160" s="17"/>
      <c r="E160" s="44"/>
      <c r="F160" s="17"/>
      <c r="G160" s="20">
        <f t="shared" ref="G160:G169" si="7">D160</f>
        <v>0</v>
      </c>
      <c r="H160" s="44">
        <f t="shared" ref="H160:H194" si="8">+G160*F160</f>
        <v>0</v>
      </c>
    </row>
    <row r="161" spans="2:8" x14ac:dyDescent="0.2">
      <c r="B161" s="42"/>
      <c r="C161" s="17"/>
      <c r="D161" s="17"/>
      <c r="E161" s="44"/>
      <c r="F161" s="17"/>
      <c r="G161" s="20">
        <f t="shared" si="7"/>
        <v>0</v>
      </c>
      <c r="H161" s="44">
        <f t="shared" si="8"/>
        <v>0</v>
      </c>
    </row>
    <row r="162" spans="2:8" x14ac:dyDescent="0.2">
      <c r="B162" s="42"/>
      <c r="C162" s="17"/>
      <c r="D162" s="17"/>
      <c r="E162" s="44"/>
      <c r="F162" s="17"/>
      <c r="G162" s="20">
        <f t="shared" si="7"/>
        <v>0</v>
      </c>
      <c r="H162" s="44">
        <f t="shared" si="8"/>
        <v>0</v>
      </c>
    </row>
    <row r="163" spans="2:8" x14ac:dyDescent="0.2">
      <c r="B163" s="42"/>
      <c r="C163" s="17"/>
      <c r="D163" s="17"/>
      <c r="E163" s="44"/>
      <c r="F163" s="17"/>
      <c r="G163" s="20">
        <f t="shared" si="7"/>
        <v>0</v>
      </c>
      <c r="H163" s="44">
        <f t="shared" si="8"/>
        <v>0</v>
      </c>
    </row>
    <row r="164" spans="2:8" x14ac:dyDescent="0.2">
      <c r="B164" s="42"/>
      <c r="C164" s="17"/>
      <c r="D164" s="17"/>
      <c r="E164" s="44"/>
      <c r="F164" s="17"/>
      <c r="G164" s="20">
        <f t="shared" si="7"/>
        <v>0</v>
      </c>
      <c r="H164" s="44">
        <f t="shared" si="8"/>
        <v>0</v>
      </c>
    </row>
    <row r="165" spans="2:8" x14ac:dyDescent="0.2">
      <c r="B165" s="42"/>
      <c r="C165" s="17"/>
      <c r="D165" s="17"/>
      <c r="E165" s="44"/>
      <c r="F165" s="17"/>
      <c r="G165" s="20">
        <f t="shared" si="7"/>
        <v>0</v>
      </c>
      <c r="H165" s="44">
        <f t="shared" si="8"/>
        <v>0</v>
      </c>
    </row>
    <row r="166" spans="2:8" x14ac:dyDescent="0.2">
      <c r="B166" s="42"/>
      <c r="C166" s="17"/>
      <c r="D166" s="17"/>
      <c r="E166" s="44"/>
      <c r="F166" s="17"/>
      <c r="G166" s="20">
        <f t="shared" si="7"/>
        <v>0</v>
      </c>
      <c r="H166" s="44">
        <f t="shared" si="8"/>
        <v>0</v>
      </c>
    </row>
    <row r="167" spans="2:8" x14ac:dyDescent="0.2">
      <c r="B167" s="42"/>
      <c r="C167" s="17"/>
      <c r="D167" s="17"/>
      <c r="E167" s="44"/>
      <c r="F167" s="17"/>
      <c r="G167" s="20">
        <f t="shared" si="7"/>
        <v>0</v>
      </c>
      <c r="H167" s="44">
        <f t="shared" si="8"/>
        <v>0</v>
      </c>
    </row>
    <row r="168" spans="2:8" x14ac:dyDescent="0.2">
      <c r="B168" s="42"/>
      <c r="C168" s="17"/>
      <c r="D168" s="17"/>
      <c r="E168" s="44"/>
      <c r="F168" s="17"/>
      <c r="G168" s="20">
        <f t="shared" si="7"/>
        <v>0</v>
      </c>
      <c r="H168" s="44">
        <f t="shared" si="8"/>
        <v>0</v>
      </c>
    </row>
    <row r="169" spans="2:8" x14ac:dyDescent="0.2">
      <c r="B169" s="42"/>
      <c r="C169" s="17"/>
      <c r="D169" s="17"/>
      <c r="E169" s="44"/>
      <c r="F169" s="17"/>
      <c r="G169" s="20">
        <f t="shared" si="7"/>
        <v>0</v>
      </c>
      <c r="H169" s="44">
        <f t="shared" si="8"/>
        <v>0</v>
      </c>
    </row>
    <row r="170" spans="2:8" x14ac:dyDescent="0.2">
      <c r="B170" s="42"/>
      <c r="C170" s="17"/>
      <c r="D170" s="17"/>
      <c r="E170" s="44"/>
      <c r="F170" s="17"/>
      <c r="G170" s="20">
        <f t="shared" ref="G170:G193" si="9">D170</f>
        <v>0</v>
      </c>
      <c r="H170" s="44">
        <f t="shared" si="8"/>
        <v>0</v>
      </c>
    </row>
    <row r="171" spans="2:8" x14ac:dyDescent="0.2">
      <c r="B171" s="42"/>
      <c r="C171" s="17"/>
      <c r="D171" s="17"/>
      <c r="E171" s="44"/>
      <c r="F171" s="17"/>
      <c r="G171" s="20">
        <f t="shared" si="9"/>
        <v>0</v>
      </c>
      <c r="H171" s="44">
        <f t="shared" si="8"/>
        <v>0</v>
      </c>
    </row>
    <row r="172" spans="2:8" x14ac:dyDescent="0.2">
      <c r="B172" s="42"/>
      <c r="C172" s="17"/>
      <c r="D172" s="17"/>
      <c r="E172" s="44"/>
      <c r="F172" s="17"/>
      <c r="G172" s="20">
        <f t="shared" si="9"/>
        <v>0</v>
      </c>
      <c r="H172" s="44">
        <f t="shared" si="8"/>
        <v>0</v>
      </c>
    </row>
    <row r="173" spans="2:8" x14ac:dyDescent="0.2">
      <c r="B173" s="42"/>
      <c r="C173" s="17"/>
      <c r="D173" s="17"/>
      <c r="E173" s="44"/>
      <c r="F173" s="17"/>
      <c r="G173" s="20">
        <f t="shared" si="9"/>
        <v>0</v>
      </c>
      <c r="H173" s="44">
        <f t="shared" si="8"/>
        <v>0</v>
      </c>
    </row>
    <row r="174" spans="2:8" x14ac:dyDescent="0.2">
      <c r="B174" s="42"/>
      <c r="C174" s="17"/>
      <c r="D174" s="17"/>
      <c r="E174" s="44">
        <f t="shared" ref="E174:E193" si="10">+C174*D174</f>
        <v>0</v>
      </c>
      <c r="F174" s="65"/>
      <c r="G174" s="20">
        <f t="shared" si="9"/>
        <v>0</v>
      </c>
      <c r="H174" s="44">
        <f t="shared" si="8"/>
        <v>0</v>
      </c>
    </row>
    <row r="175" spans="2:8" x14ac:dyDescent="0.2">
      <c r="B175" s="42"/>
      <c r="C175" s="17"/>
      <c r="D175" s="17"/>
      <c r="E175" s="44">
        <f t="shared" si="10"/>
        <v>0</v>
      </c>
      <c r="F175" s="17"/>
      <c r="G175" s="20">
        <f t="shared" si="9"/>
        <v>0</v>
      </c>
      <c r="H175" s="44">
        <f t="shared" si="8"/>
        <v>0</v>
      </c>
    </row>
    <row r="176" spans="2:8" x14ac:dyDescent="0.2">
      <c r="B176" s="42"/>
      <c r="C176" s="17"/>
      <c r="D176" s="17"/>
      <c r="E176" s="44">
        <f t="shared" si="10"/>
        <v>0</v>
      </c>
      <c r="F176" s="17"/>
      <c r="G176" s="20">
        <f t="shared" si="9"/>
        <v>0</v>
      </c>
      <c r="H176" s="44">
        <f t="shared" si="8"/>
        <v>0</v>
      </c>
    </row>
    <row r="177" spans="2:8" x14ac:dyDescent="0.2">
      <c r="B177" s="42"/>
      <c r="C177" s="17"/>
      <c r="D177" s="17"/>
      <c r="E177" s="44">
        <f t="shared" si="10"/>
        <v>0</v>
      </c>
      <c r="F177" s="17"/>
      <c r="G177" s="20">
        <f t="shared" si="9"/>
        <v>0</v>
      </c>
      <c r="H177" s="44">
        <f t="shared" si="8"/>
        <v>0</v>
      </c>
    </row>
    <row r="178" spans="2:8" x14ac:dyDescent="0.2">
      <c r="B178" s="42"/>
      <c r="C178" s="17"/>
      <c r="D178" s="17"/>
      <c r="E178" s="44">
        <f t="shared" si="10"/>
        <v>0</v>
      </c>
      <c r="F178" s="17"/>
      <c r="G178" s="20">
        <f t="shared" si="9"/>
        <v>0</v>
      </c>
      <c r="H178" s="44">
        <f t="shared" si="8"/>
        <v>0</v>
      </c>
    </row>
    <row r="179" spans="2:8" x14ac:dyDescent="0.2">
      <c r="B179" s="42"/>
      <c r="C179" s="17"/>
      <c r="D179" s="17"/>
      <c r="E179" s="44">
        <f t="shared" si="10"/>
        <v>0</v>
      </c>
      <c r="F179" s="17"/>
      <c r="G179" s="20">
        <f t="shared" si="9"/>
        <v>0</v>
      </c>
      <c r="H179" s="44">
        <f t="shared" si="8"/>
        <v>0</v>
      </c>
    </row>
    <row r="180" spans="2:8" x14ac:dyDescent="0.2">
      <c r="B180" s="42"/>
      <c r="C180" s="17"/>
      <c r="D180" s="17"/>
      <c r="E180" s="44">
        <f t="shared" si="10"/>
        <v>0</v>
      </c>
      <c r="F180" s="17"/>
      <c r="G180" s="20">
        <f t="shared" si="9"/>
        <v>0</v>
      </c>
      <c r="H180" s="44">
        <f t="shared" si="8"/>
        <v>0</v>
      </c>
    </row>
    <row r="181" spans="2:8" x14ac:dyDescent="0.2">
      <c r="B181" s="42"/>
      <c r="C181" s="17"/>
      <c r="D181" s="17"/>
      <c r="E181" s="44">
        <f t="shared" si="10"/>
        <v>0</v>
      </c>
      <c r="F181" s="17"/>
      <c r="G181" s="20">
        <f t="shared" si="9"/>
        <v>0</v>
      </c>
      <c r="H181" s="44">
        <f t="shared" si="8"/>
        <v>0</v>
      </c>
    </row>
    <row r="182" spans="2:8" x14ac:dyDescent="0.2">
      <c r="B182" s="42"/>
      <c r="C182" s="17"/>
      <c r="D182" s="17"/>
      <c r="E182" s="44">
        <f t="shared" si="10"/>
        <v>0</v>
      </c>
      <c r="F182" s="17"/>
      <c r="G182" s="20">
        <f t="shared" si="9"/>
        <v>0</v>
      </c>
      <c r="H182" s="44">
        <f t="shared" si="8"/>
        <v>0</v>
      </c>
    </row>
    <row r="183" spans="2:8" x14ac:dyDescent="0.2">
      <c r="B183" s="42"/>
      <c r="C183" s="17"/>
      <c r="D183" s="17"/>
      <c r="E183" s="44">
        <f t="shared" si="10"/>
        <v>0</v>
      </c>
      <c r="F183" s="17"/>
      <c r="G183" s="20">
        <f t="shared" si="9"/>
        <v>0</v>
      </c>
      <c r="H183" s="44">
        <f t="shared" si="8"/>
        <v>0</v>
      </c>
    </row>
    <row r="184" spans="2:8" x14ac:dyDescent="0.2">
      <c r="B184" s="42"/>
      <c r="C184" s="17"/>
      <c r="D184" s="17"/>
      <c r="E184" s="44">
        <f t="shared" si="10"/>
        <v>0</v>
      </c>
      <c r="F184" s="17"/>
      <c r="G184" s="20">
        <f t="shared" si="9"/>
        <v>0</v>
      </c>
      <c r="H184" s="44">
        <f t="shared" si="8"/>
        <v>0</v>
      </c>
    </row>
    <row r="185" spans="2:8" x14ac:dyDescent="0.2">
      <c r="B185" s="42"/>
      <c r="C185" s="17"/>
      <c r="D185" s="17"/>
      <c r="E185" s="44">
        <f t="shared" si="10"/>
        <v>0</v>
      </c>
      <c r="F185" s="17"/>
      <c r="G185" s="20">
        <f t="shared" si="9"/>
        <v>0</v>
      </c>
      <c r="H185" s="44">
        <f t="shared" si="8"/>
        <v>0</v>
      </c>
    </row>
    <row r="186" spans="2:8" x14ac:dyDescent="0.2">
      <c r="B186" s="42"/>
      <c r="C186" s="17"/>
      <c r="D186" s="17"/>
      <c r="E186" s="44">
        <f t="shared" si="10"/>
        <v>0</v>
      </c>
      <c r="F186" s="17"/>
      <c r="G186" s="20">
        <f t="shared" si="9"/>
        <v>0</v>
      </c>
      <c r="H186" s="44">
        <f t="shared" si="8"/>
        <v>0</v>
      </c>
    </row>
    <row r="187" spans="2:8" x14ac:dyDescent="0.2">
      <c r="B187" s="42"/>
      <c r="C187" s="17"/>
      <c r="D187" s="17"/>
      <c r="E187" s="44">
        <f t="shared" si="10"/>
        <v>0</v>
      </c>
      <c r="F187" s="17"/>
      <c r="G187" s="20">
        <f t="shared" si="9"/>
        <v>0</v>
      </c>
      <c r="H187" s="44">
        <f t="shared" si="8"/>
        <v>0</v>
      </c>
    </row>
    <row r="188" spans="2:8" x14ac:dyDescent="0.2">
      <c r="B188" s="42"/>
      <c r="C188" s="17"/>
      <c r="D188" s="17"/>
      <c r="E188" s="44">
        <f t="shared" si="10"/>
        <v>0</v>
      </c>
      <c r="F188" s="17"/>
      <c r="G188" s="20">
        <f t="shared" si="9"/>
        <v>0</v>
      </c>
      <c r="H188" s="44">
        <f t="shared" si="8"/>
        <v>0</v>
      </c>
    </row>
    <row r="189" spans="2:8" x14ac:dyDescent="0.2">
      <c r="B189" s="42"/>
      <c r="C189" s="17"/>
      <c r="D189" s="17"/>
      <c r="E189" s="44">
        <f t="shared" si="10"/>
        <v>0</v>
      </c>
      <c r="F189" s="17"/>
      <c r="G189" s="20">
        <f t="shared" si="9"/>
        <v>0</v>
      </c>
      <c r="H189" s="44">
        <f t="shared" si="8"/>
        <v>0</v>
      </c>
    </row>
    <row r="190" spans="2:8" x14ac:dyDescent="0.2">
      <c r="B190" s="42"/>
      <c r="C190" s="17"/>
      <c r="D190" s="17"/>
      <c r="E190" s="44">
        <f t="shared" si="10"/>
        <v>0</v>
      </c>
      <c r="F190" s="17"/>
      <c r="G190" s="20">
        <f t="shared" si="9"/>
        <v>0</v>
      </c>
      <c r="H190" s="44">
        <f t="shared" si="8"/>
        <v>0</v>
      </c>
    </row>
    <row r="191" spans="2:8" x14ac:dyDescent="0.2">
      <c r="B191" s="42"/>
      <c r="C191" s="17"/>
      <c r="D191" s="17"/>
      <c r="E191" s="44">
        <f t="shared" si="10"/>
        <v>0</v>
      </c>
      <c r="F191" s="17"/>
      <c r="G191" s="20">
        <f t="shared" si="9"/>
        <v>0</v>
      </c>
      <c r="H191" s="44">
        <f t="shared" si="8"/>
        <v>0</v>
      </c>
    </row>
    <row r="192" spans="2:8" x14ac:dyDescent="0.2">
      <c r="B192" s="42"/>
      <c r="C192" s="17"/>
      <c r="D192" s="17"/>
      <c r="E192" s="44">
        <f t="shared" si="10"/>
        <v>0</v>
      </c>
      <c r="F192" s="17"/>
      <c r="G192" s="20">
        <f t="shared" si="9"/>
        <v>0</v>
      </c>
      <c r="H192" s="44">
        <f t="shared" si="8"/>
        <v>0</v>
      </c>
    </row>
    <row r="193" spans="2:8" x14ac:dyDescent="0.2">
      <c r="B193" s="42"/>
      <c r="C193" s="17"/>
      <c r="D193" s="17"/>
      <c r="E193" s="44">
        <f t="shared" si="10"/>
        <v>0</v>
      </c>
      <c r="F193" s="17"/>
      <c r="G193" s="20">
        <f t="shared" si="9"/>
        <v>0</v>
      </c>
      <c r="H193" s="44">
        <f t="shared" si="8"/>
        <v>0</v>
      </c>
    </row>
    <row r="194" spans="2:8" ht="13.5" thickBot="1" x14ac:dyDescent="0.25">
      <c r="B194" s="42"/>
      <c r="C194" s="45" t="s">
        <v>23</v>
      </c>
      <c r="D194" s="17"/>
      <c r="E194" s="52"/>
      <c r="F194" s="17"/>
      <c r="G194" s="17"/>
      <c r="H194" s="44">
        <f t="shared" si="8"/>
        <v>0</v>
      </c>
    </row>
    <row r="195" spans="2:8" ht="13.5" thickBot="1" x14ac:dyDescent="0.25">
      <c r="B195" s="7"/>
      <c r="C195" s="27"/>
      <c r="D195" s="33" t="s">
        <v>24</v>
      </c>
      <c r="E195" s="32"/>
      <c r="F195" s="27"/>
      <c r="G195" s="33" t="s">
        <v>24</v>
      </c>
      <c r="H195" s="44">
        <f>+SUM(H160:H194)</f>
        <v>0</v>
      </c>
    </row>
    <row r="196" spans="2:8" ht="13.5" thickBot="1" x14ac:dyDescent="0.25">
      <c r="B196" s="7"/>
      <c r="C196" s="27"/>
      <c r="D196" s="33" t="s">
        <v>25</v>
      </c>
      <c r="E196" s="32"/>
      <c r="F196" s="27"/>
      <c r="G196" s="33" t="s">
        <v>25</v>
      </c>
      <c r="H196" s="34">
        <f>H195/35</f>
        <v>0</v>
      </c>
    </row>
    <row r="197" spans="2:8" ht="13.5" thickBot="1" x14ac:dyDescent="0.25">
      <c r="B197" s="7"/>
      <c r="C197" s="7"/>
      <c r="D197" s="7"/>
      <c r="E197" s="54"/>
      <c r="F197" s="7"/>
      <c r="G197" s="7"/>
      <c r="H197" s="32"/>
    </row>
    <row r="198" spans="2:8" x14ac:dyDescent="0.2">
      <c r="B198" s="7"/>
      <c r="C198" s="7"/>
      <c r="D198" s="7"/>
      <c r="E198" s="55"/>
      <c r="F198" s="7"/>
      <c r="G198" s="7"/>
      <c r="H198" s="7"/>
    </row>
    <row r="199" spans="2:8" ht="16.5" thickBot="1" x14ac:dyDescent="0.3">
      <c r="B199" s="207" t="s">
        <v>46</v>
      </c>
      <c r="C199" s="207"/>
      <c r="D199" s="207"/>
      <c r="E199" s="207"/>
      <c r="F199" s="207"/>
      <c r="G199" s="207"/>
      <c r="H199" s="207"/>
    </row>
    <row r="200" spans="2:8" ht="13.5" thickBot="1" x14ac:dyDescent="0.25">
      <c r="B200" s="204" t="s">
        <v>12</v>
      </c>
      <c r="C200" s="205"/>
      <c r="D200" s="205"/>
      <c r="E200" s="206"/>
      <c r="F200" s="204" t="s">
        <v>13</v>
      </c>
      <c r="G200" s="205"/>
      <c r="H200" s="206"/>
    </row>
    <row r="201" spans="2:8" x14ac:dyDescent="0.2">
      <c r="B201" s="13" t="s">
        <v>19</v>
      </c>
      <c r="C201" s="13" t="s">
        <v>20</v>
      </c>
      <c r="D201" s="13" t="s">
        <v>21</v>
      </c>
      <c r="E201" s="13" t="s">
        <v>22</v>
      </c>
      <c r="F201" s="13" t="s">
        <v>20</v>
      </c>
      <c r="G201" s="13" t="s">
        <v>21</v>
      </c>
      <c r="H201" s="53" t="s">
        <v>22</v>
      </c>
    </row>
    <row r="202" spans="2:8" x14ac:dyDescent="0.2">
      <c r="B202" s="78"/>
      <c r="C202" s="79"/>
      <c r="D202" s="17"/>
      <c r="E202" s="44"/>
      <c r="F202" s="17"/>
      <c r="G202" s="20">
        <f t="shared" ref="G202:G233" si="11">D202</f>
        <v>0</v>
      </c>
      <c r="H202" s="44">
        <f t="shared" ref="H202:H234" si="12">+G202*F202</f>
        <v>0</v>
      </c>
    </row>
    <row r="203" spans="2:8" x14ac:dyDescent="0.2">
      <c r="B203" s="78"/>
      <c r="C203" s="79"/>
      <c r="D203" s="17"/>
      <c r="E203" s="44"/>
      <c r="F203" s="17"/>
      <c r="G203" s="20">
        <f t="shared" si="11"/>
        <v>0</v>
      </c>
      <c r="H203" s="44">
        <f t="shared" si="12"/>
        <v>0</v>
      </c>
    </row>
    <row r="204" spans="2:8" x14ac:dyDescent="0.2">
      <c r="B204" s="78"/>
      <c r="C204" s="77"/>
      <c r="D204" s="17"/>
      <c r="E204" s="44"/>
      <c r="F204" s="17"/>
      <c r="G204" s="20">
        <f t="shared" si="11"/>
        <v>0</v>
      </c>
      <c r="H204" s="44">
        <f t="shared" si="12"/>
        <v>0</v>
      </c>
    </row>
    <row r="205" spans="2:8" x14ac:dyDescent="0.2">
      <c r="B205" s="78"/>
      <c r="C205" s="79"/>
      <c r="D205" s="17"/>
      <c r="E205" s="44"/>
      <c r="F205" s="17"/>
      <c r="G205" s="20">
        <f t="shared" si="11"/>
        <v>0</v>
      </c>
      <c r="H205" s="44">
        <f t="shared" si="12"/>
        <v>0</v>
      </c>
    </row>
    <row r="206" spans="2:8" x14ac:dyDescent="0.2">
      <c r="B206" s="78"/>
      <c r="C206" s="77"/>
      <c r="D206" s="17"/>
      <c r="E206" s="44"/>
      <c r="F206" s="17"/>
      <c r="G206" s="20">
        <f t="shared" si="11"/>
        <v>0</v>
      </c>
      <c r="H206" s="44">
        <f t="shared" si="12"/>
        <v>0</v>
      </c>
    </row>
    <row r="207" spans="2:8" x14ac:dyDescent="0.2">
      <c r="B207" s="78"/>
      <c r="C207" s="17"/>
      <c r="D207" s="17"/>
      <c r="E207" s="44"/>
      <c r="F207" s="17"/>
      <c r="G207" s="20">
        <f t="shared" si="11"/>
        <v>0</v>
      </c>
      <c r="H207" s="44">
        <f t="shared" si="12"/>
        <v>0</v>
      </c>
    </row>
    <row r="208" spans="2:8" x14ac:dyDescent="0.2">
      <c r="B208" s="78"/>
      <c r="C208" s="17"/>
      <c r="D208" s="17"/>
      <c r="E208" s="44"/>
      <c r="F208" s="17"/>
      <c r="G208" s="20">
        <f t="shared" si="11"/>
        <v>0</v>
      </c>
      <c r="H208" s="44">
        <f t="shared" si="12"/>
        <v>0</v>
      </c>
    </row>
    <row r="209" spans="2:8" x14ac:dyDescent="0.2">
      <c r="B209" s="78"/>
      <c r="C209" s="17"/>
      <c r="D209" s="17"/>
      <c r="E209" s="44"/>
      <c r="F209" s="17"/>
      <c r="G209" s="20">
        <f t="shared" si="11"/>
        <v>0</v>
      </c>
      <c r="H209" s="44">
        <f t="shared" si="12"/>
        <v>0</v>
      </c>
    </row>
    <row r="210" spans="2:8" x14ac:dyDescent="0.2">
      <c r="B210" s="78"/>
      <c r="C210" s="17"/>
      <c r="D210" s="17"/>
      <c r="E210" s="44"/>
      <c r="F210" s="17"/>
      <c r="G210" s="20">
        <f t="shared" si="11"/>
        <v>0</v>
      </c>
      <c r="H210" s="44">
        <f t="shared" si="12"/>
        <v>0</v>
      </c>
    </row>
    <row r="211" spans="2:8" x14ac:dyDescent="0.2">
      <c r="B211" s="78"/>
      <c r="C211" s="17"/>
      <c r="D211" s="17"/>
      <c r="E211" s="44"/>
      <c r="F211" s="17"/>
      <c r="G211" s="20">
        <f t="shared" si="11"/>
        <v>0</v>
      </c>
      <c r="H211" s="44">
        <f t="shared" si="12"/>
        <v>0</v>
      </c>
    </row>
    <row r="212" spans="2:8" x14ac:dyDescent="0.2">
      <c r="B212" s="78"/>
      <c r="C212" s="17"/>
      <c r="D212" s="17"/>
      <c r="E212" s="44"/>
      <c r="F212" s="17"/>
      <c r="G212" s="20">
        <f t="shared" si="11"/>
        <v>0</v>
      </c>
      <c r="H212" s="44">
        <f t="shared" si="12"/>
        <v>0</v>
      </c>
    </row>
    <row r="213" spans="2:8" x14ac:dyDescent="0.2">
      <c r="B213" s="78"/>
      <c r="C213" s="17"/>
      <c r="D213" s="17"/>
      <c r="E213" s="44"/>
      <c r="F213" s="17"/>
      <c r="G213" s="20">
        <f t="shared" si="11"/>
        <v>0</v>
      </c>
      <c r="H213" s="44">
        <f t="shared" si="12"/>
        <v>0</v>
      </c>
    </row>
    <row r="214" spans="2:8" x14ac:dyDescent="0.2">
      <c r="B214" s="78"/>
      <c r="C214" s="17"/>
      <c r="D214" s="17"/>
      <c r="E214" s="44"/>
      <c r="F214" s="17"/>
      <c r="G214" s="20">
        <f t="shared" si="11"/>
        <v>0</v>
      </c>
      <c r="H214" s="44">
        <f t="shared" si="12"/>
        <v>0</v>
      </c>
    </row>
    <row r="215" spans="2:8" x14ac:dyDescent="0.2">
      <c r="B215" s="78"/>
      <c r="C215" s="17"/>
      <c r="D215" s="17"/>
      <c r="E215" s="44"/>
      <c r="F215" s="17"/>
      <c r="G215" s="20">
        <f t="shared" si="11"/>
        <v>0</v>
      </c>
      <c r="H215" s="44">
        <f t="shared" si="12"/>
        <v>0</v>
      </c>
    </row>
    <row r="216" spans="2:8" x14ac:dyDescent="0.2">
      <c r="B216" s="78"/>
      <c r="C216" s="17"/>
      <c r="D216" s="17"/>
      <c r="E216" s="44"/>
      <c r="F216" s="17"/>
      <c r="G216" s="20">
        <f t="shared" si="11"/>
        <v>0</v>
      </c>
      <c r="H216" s="44">
        <f t="shared" si="12"/>
        <v>0</v>
      </c>
    </row>
    <row r="217" spans="2:8" x14ac:dyDescent="0.2">
      <c r="B217" s="78"/>
      <c r="C217" s="17"/>
      <c r="D217" s="17"/>
      <c r="E217" s="44"/>
      <c r="F217" s="17"/>
      <c r="G217" s="20">
        <f t="shared" si="11"/>
        <v>0</v>
      </c>
      <c r="H217" s="44">
        <f t="shared" si="12"/>
        <v>0</v>
      </c>
    </row>
    <row r="218" spans="2:8" x14ac:dyDescent="0.2">
      <c r="B218" s="78"/>
      <c r="C218" s="17"/>
      <c r="D218" s="17"/>
      <c r="E218" s="44"/>
      <c r="F218" s="17"/>
      <c r="G218" s="20">
        <f t="shared" si="11"/>
        <v>0</v>
      </c>
      <c r="H218" s="44">
        <f t="shared" si="12"/>
        <v>0</v>
      </c>
    </row>
    <row r="219" spans="2:8" x14ac:dyDescent="0.2">
      <c r="B219" s="78"/>
      <c r="C219" s="17"/>
      <c r="D219" s="17"/>
      <c r="E219" s="44"/>
      <c r="F219" s="17"/>
      <c r="G219" s="20">
        <f t="shared" si="11"/>
        <v>0</v>
      </c>
      <c r="H219" s="44">
        <f t="shared" si="12"/>
        <v>0</v>
      </c>
    </row>
    <row r="220" spans="2:8" x14ac:dyDescent="0.2">
      <c r="B220" s="42"/>
      <c r="C220" s="17"/>
      <c r="D220" s="17"/>
      <c r="E220" s="44"/>
      <c r="F220" s="17"/>
      <c r="G220" s="20">
        <f t="shared" si="11"/>
        <v>0</v>
      </c>
      <c r="H220" s="44">
        <f t="shared" si="12"/>
        <v>0</v>
      </c>
    </row>
    <row r="221" spans="2:8" x14ac:dyDescent="0.2">
      <c r="B221" s="42"/>
      <c r="C221" s="17"/>
      <c r="D221" s="17"/>
      <c r="E221" s="44"/>
      <c r="F221" s="17"/>
      <c r="G221" s="20">
        <f t="shared" si="11"/>
        <v>0</v>
      </c>
      <c r="H221" s="44">
        <f t="shared" si="12"/>
        <v>0</v>
      </c>
    </row>
    <row r="222" spans="2:8" x14ac:dyDescent="0.2">
      <c r="B222" s="42"/>
      <c r="C222" s="17"/>
      <c r="D222" s="17"/>
      <c r="E222" s="44"/>
      <c r="F222" s="17"/>
      <c r="G222" s="20">
        <f t="shared" si="11"/>
        <v>0</v>
      </c>
      <c r="H222" s="44">
        <f t="shared" si="12"/>
        <v>0</v>
      </c>
    </row>
    <row r="223" spans="2:8" x14ac:dyDescent="0.2">
      <c r="B223" s="42"/>
      <c r="C223" s="17"/>
      <c r="D223" s="17"/>
      <c r="E223" s="44"/>
      <c r="F223" s="17"/>
      <c r="G223" s="20">
        <f t="shared" si="11"/>
        <v>0</v>
      </c>
      <c r="H223" s="44">
        <f t="shared" si="12"/>
        <v>0</v>
      </c>
    </row>
    <row r="224" spans="2:8" x14ac:dyDescent="0.2">
      <c r="B224" s="42"/>
      <c r="C224" s="17"/>
      <c r="D224" s="17"/>
      <c r="E224" s="44"/>
      <c r="F224" s="17"/>
      <c r="G224" s="20">
        <f t="shared" si="11"/>
        <v>0</v>
      </c>
      <c r="H224" s="44">
        <f t="shared" si="12"/>
        <v>0</v>
      </c>
    </row>
    <row r="225" spans="2:8" x14ac:dyDescent="0.2">
      <c r="B225" s="42"/>
      <c r="C225" s="17"/>
      <c r="D225" s="17"/>
      <c r="E225" s="44"/>
      <c r="F225" s="17"/>
      <c r="G225" s="20">
        <f t="shared" si="11"/>
        <v>0</v>
      </c>
      <c r="H225" s="44">
        <f t="shared" si="12"/>
        <v>0</v>
      </c>
    </row>
    <row r="226" spans="2:8" x14ac:dyDescent="0.2">
      <c r="B226" s="42"/>
      <c r="C226" s="17"/>
      <c r="D226" s="17"/>
      <c r="E226" s="44"/>
      <c r="F226" s="17"/>
      <c r="G226" s="20">
        <f t="shared" si="11"/>
        <v>0</v>
      </c>
      <c r="H226" s="44">
        <f t="shared" si="12"/>
        <v>0</v>
      </c>
    </row>
    <row r="227" spans="2:8" x14ac:dyDescent="0.2">
      <c r="B227" s="42"/>
      <c r="C227" s="17"/>
      <c r="D227" s="17"/>
      <c r="E227" s="44"/>
      <c r="F227" s="17"/>
      <c r="G227" s="20">
        <f t="shared" si="11"/>
        <v>0</v>
      </c>
      <c r="H227" s="44">
        <f t="shared" si="12"/>
        <v>0</v>
      </c>
    </row>
    <row r="228" spans="2:8" x14ac:dyDescent="0.2">
      <c r="B228" s="42"/>
      <c r="C228" s="17"/>
      <c r="D228" s="17"/>
      <c r="E228" s="44"/>
      <c r="F228" s="17"/>
      <c r="G228" s="20">
        <f t="shared" si="11"/>
        <v>0</v>
      </c>
      <c r="H228" s="44">
        <f t="shared" si="12"/>
        <v>0</v>
      </c>
    </row>
    <row r="229" spans="2:8" x14ac:dyDescent="0.2">
      <c r="B229" s="42"/>
      <c r="C229" s="17"/>
      <c r="D229" s="17"/>
      <c r="E229" s="44"/>
      <c r="F229" s="17"/>
      <c r="G229" s="20">
        <f t="shared" si="11"/>
        <v>0</v>
      </c>
      <c r="H229" s="44">
        <f t="shared" si="12"/>
        <v>0</v>
      </c>
    </row>
    <row r="230" spans="2:8" x14ac:dyDescent="0.2">
      <c r="B230" s="42"/>
      <c r="C230" s="17"/>
      <c r="D230" s="17"/>
      <c r="E230" s="44"/>
      <c r="F230" s="17"/>
      <c r="G230" s="20">
        <f t="shared" si="11"/>
        <v>0</v>
      </c>
      <c r="H230" s="44">
        <f t="shared" si="12"/>
        <v>0</v>
      </c>
    </row>
    <row r="231" spans="2:8" x14ac:dyDescent="0.2">
      <c r="B231" s="42"/>
      <c r="C231" s="17"/>
      <c r="D231" s="17"/>
      <c r="E231" s="44"/>
      <c r="F231" s="17"/>
      <c r="G231" s="20">
        <f t="shared" si="11"/>
        <v>0</v>
      </c>
      <c r="H231" s="44">
        <f t="shared" si="12"/>
        <v>0</v>
      </c>
    </row>
    <row r="232" spans="2:8" x14ac:dyDescent="0.2">
      <c r="B232" s="42"/>
      <c r="C232" s="17"/>
      <c r="D232" s="17"/>
      <c r="E232" s="44"/>
      <c r="F232" s="17"/>
      <c r="G232" s="20">
        <f t="shared" si="11"/>
        <v>0</v>
      </c>
      <c r="H232" s="44">
        <f t="shared" si="12"/>
        <v>0</v>
      </c>
    </row>
    <row r="233" spans="2:8" x14ac:dyDescent="0.2">
      <c r="B233" s="42"/>
      <c r="C233" s="17"/>
      <c r="D233" s="17"/>
      <c r="E233" s="44"/>
      <c r="F233" s="17"/>
      <c r="G233" s="20">
        <f t="shared" si="11"/>
        <v>0</v>
      </c>
      <c r="H233" s="44">
        <f t="shared" si="12"/>
        <v>0</v>
      </c>
    </row>
    <row r="234" spans="2:8" ht="13.5" thickBot="1" x14ac:dyDescent="0.25">
      <c r="B234" s="42"/>
      <c r="C234" s="45" t="s">
        <v>23</v>
      </c>
      <c r="D234" s="17"/>
      <c r="E234" s="52"/>
      <c r="F234" s="17"/>
      <c r="G234" s="17"/>
      <c r="H234" s="44">
        <f t="shared" si="12"/>
        <v>0</v>
      </c>
    </row>
    <row r="235" spans="2:8" ht="13.5" thickBot="1" x14ac:dyDescent="0.25">
      <c r="B235" s="7"/>
      <c r="C235" s="27"/>
      <c r="D235" s="33" t="s">
        <v>24</v>
      </c>
      <c r="E235" s="32"/>
      <c r="F235" s="27"/>
      <c r="G235" s="33" t="s">
        <v>24</v>
      </c>
      <c r="H235" s="49">
        <f>SUM(H202:H234)</f>
        <v>0</v>
      </c>
    </row>
    <row r="236" spans="2:8" ht="13.5" thickBot="1" x14ac:dyDescent="0.25">
      <c r="C236" s="27"/>
      <c r="D236" s="33" t="s">
        <v>25</v>
      </c>
      <c r="E236" s="32"/>
      <c r="F236" s="27"/>
      <c r="G236" s="33" t="s">
        <v>25</v>
      </c>
      <c r="H236" s="34">
        <f>H235/60</f>
        <v>0</v>
      </c>
    </row>
    <row r="238" spans="2:8" ht="16.5" thickBot="1" x14ac:dyDescent="0.3">
      <c r="B238" s="203" t="s">
        <v>26</v>
      </c>
      <c r="C238" s="203"/>
      <c r="D238" s="203"/>
      <c r="E238" s="203"/>
      <c r="F238" s="203"/>
      <c r="G238" s="203"/>
      <c r="H238" s="203"/>
    </row>
    <row r="239" spans="2:8" ht="13.5" thickBot="1" x14ac:dyDescent="0.25">
      <c r="B239" s="35"/>
      <c r="C239" s="36"/>
      <c r="D239" s="37" t="s">
        <v>12</v>
      </c>
      <c r="E239" s="38"/>
      <c r="F239" s="39"/>
      <c r="G239" s="11" t="s">
        <v>13</v>
      </c>
      <c r="H239" s="38"/>
    </row>
    <row r="240" spans="2:8" x14ac:dyDescent="0.2">
      <c r="B240" s="13" t="s">
        <v>19</v>
      </c>
      <c r="C240" s="13" t="s">
        <v>20</v>
      </c>
      <c r="D240" s="13" t="s">
        <v>21</v>
      </c>
      <c r="E240" s="13" t="s">
        <v>22</v>
      </c>
      <c r="F240" s="13" t="s">
        <v>20</v>
      </c>
      <c r="G240" s="13" t="s">
        <v>21</v>
      </c>
      <c r="H240" s="53" t="s">
        <v>22</v>
      </c>
    </row>
    <row r="241" spans="2:8" x14ac:dyDescent="0.2">
      <c r="B241" s="42"/>
      <c r="C241" s="17"/>
      <c r="D241" s="17"/>
      <c r="E241" s="44"/>
      <c r="F241" s="17"/>
      <c r="G241" s="20">
        <f t="shared" ref="G241:G272" si="13">D241</f>
        <v>0</v>
      </c>
      <c r="H241" s="44">
        <f t="shared" ref="H241:H272" si="14">+G241*F241</f>
        <v>0</v>
      </c>
    </row>
    <row r="242" spans="2:8" x14ac:dyDescent="0.2">
      <c r="B242" s="42"/>
      <c r="C242" s="17"/>
      <c r="D242" s="17"/>
      <c r="E242" s="44"/>
      <c r="F242" s="17"/>
      <c r="G242" s="20">
        <f t="shared" si="13"/>
        <v>0</v>
      </c>
      <c r="H242" s="44">
        <f t="shared" si="14"/>
        <v>0</v>
      </c>
    </row>
    <row r="243" spans="2:8" x14ac:dyDescent="0.2">
      <c r="B243" s="42"/>
      <c r="C243" s="17"/>
      <c r="D243" s="17"/>
      <c r="E243" s="44"/>
      <c r="F243" s="17"/>
      <c r="G243" s="20">
        <f t="shared" si="13"/>
        <v>0</v>
      </c>
      <c r="H243" s="44">
        <f t="shared" si="14"/>
        <v>0</v>
      </c>
    </row>
    <row r="244" spans="2:8" x14ac:dyDescent="0.2">
      <c r="B244" s="42"/>
      <c r="C244" s="17"/>
      <c r="D244" s="17"/>
      <c r="E244" s="44"/>
      <c r="F244" s="17"/>
      <c r="G244" s="20">
        <f t="shared" si="13"/>
        <v>0</v>
      </c>
      <c r="H244" s="44">
        <f t="shared" si="14"/>
        <v>0</v>
      </c>
    </row>
    <row r="245" spans="2:8" x14ac:dyDescent="0.2">
      <c r="B245" s="42"/>
      <c r="C245" s="17"/>
      <c r="D245" s="17"/>
      <c r="E245" s="44"/>
      <c r="F245" s="17"/>
      <c r="G245" s="20">
        <f t="shared" si="13"/>
        <v>0</v>
      </c>
      <c r="H245" s="44">
        <f t="shared" si="14"/>
        <v>0</v>
      </c>
    </row>
    <row r="246" spans="2:8" x14ac:dyDescent="0.2">
      <c r="B246" s="42"/>
      <c r="C246" s="17"/>
      <c r="D246" s="17"/>
      <c r="E246" s="44"/>
      <c r="F246" s="17"/>
      <c r="G246" s="20">
        <f t="shared" si="13"/>
        <v>0</v>
      </c>
      <c r="H246" s="44">
        <f t="shared" si="14"/>
        <v>0</v>
      </c>
    </row>
    <row r="247" spans="2:8" x14ac:dyDescent="0.2">
      <c r="B247" s="42"/>
      <c r="C247" s="17"/>
      <c r="D247" s="17"/>
      <c r="E247" s="44"/>
      <c r="F247" s="17"/>
      <c r="G247" s="20">
        <f t="shared" si="13"/>
        <v>0</v>
      </c>
      <c r="H247" s="44">
        <f t="shared" si="14"/>
        <v>0</v>
      </c>
    </row>
    <row r="248" spans="2:8" x14ac:dyDescent="0.2">
      <c r="B248" s="42"/>
      <c r="C248" s="17"/>
      <c r="D248" s="17"/>
      <c r="E248" s="44"/>
      <c r="F248" s="17"/>
      <c r="G248" s="20">
        <f t="shared" si="13"/>
        <v>0</v>
      </c>
      <c r="H248" s="44">
        <f t="shared" si="14"/>
        <v>0</v>
      </c>
    </row>
    <row r="249" spans="2:8" x14ac:dyDescent="0.2">
      <c r="B249" s="42"/>
      <c r="C249" s="17"/>
      <c r="D249" s="17"/>
      <c r="E249" s="44"/>
      <c r="F249" s="17"/>
      <c r="G249" s="20">
        <f t="shared" si="13"/>
        <v>0</v>
      </c>
      <c r="H249" s="44">
        <f t="shared" si="14"/>
        <v>0</v>
      </c>
    </row>
    <row r="250" spans="2:8" x14ac:dyDescent="0.2">
      <c r="B250" s="42"/>
      <c r="C250" s="17"/>
      <c r="D250" s="17"/>
      <c r="E250" s="44"/>
      <c r="F250" s="17"/>
      <c r="G250" s="20">
        <f t="shared" si="13"/>
        <v>0</v>
      </c>
      <c r="H250" s="44">
        <f t="shared" si="14"/>
        <v>0</v>
      </c>
    </row>
    <row r="251" spans="2:8" x14ac:dyDescent="0.2">
      <c r="B251" s="42"/>
      <c r="C251" s="17"/>
      <c r="D251" s="17"/>
      <c r="E251" s="44"/>
      <c r="F251" s="17"/>
      <c r="G251" s="20">
        <f t="shared" si="13"/>
        <v>0</v>
      </c>
      <c r="H251" s="44">
        <f t="shared" si="14"/>
        <v>0</v>
      </c>
    </row>
    <row r="252" spans="2:8" x14ac:dyDescent="0.2">
      <c r="B252" s="42"/>
      <c r="C252" s="17"/>
      <c r="D252" s="17"/>
      <c r="E252" s="44"/>
      <c r="F252" s="17"/>
      <c r="G252" s="20">
        <f t="shared" si="13"/>
        <v>0</v>
      </c>
      <c r="H252" s="44">
        <f t="shared" si="14"/>
        <v>0</v>
      </c>
    </row>
    <row r="253" spans="2:8" x14ac:dyDescent="0.2">
      <c r="B253" s="42"/>
      <c r="C253" s="17"/>
      <c r="D253" s="17"/>
      <c r="E253" s="44"/>
      <c r="F253" s="17"/>
      <c r="G253" s="20">
        <f t="shared" si="13"/>
        <v>0</v>
      </c>
      <c r="H253" s="44">
        <f t="shared" si="14"/>
        <v>0</v>
      </c>
    </row>
    <row r="254" spans="2:8" x14ac:dyDescent="0.2">
      <c r="B254" s="42"/>
      <c r="C254" s="17"/>
      <c r="D254" s="17"/>
      <c r="E254" s="44"/>
      <c r="F254" s="17"/>
      <c r="G254" s="20">
        <f t="shared" si="13"/>
        <v>0</v>
      </c>
      <c r="H254" s="44">
        <f t="shared" si="14"/>
        <v>0</v>
      </c>
    </row>
    <row r="255" spans="2:8" x14ac:dyDescent="0.2">
      <c r="B255" s="42"/>
      <c r="C255" s="17"/>
      <c r="D255" s="17"/>
      <c r="E255" s="44"/>
      <c r="F255" s="17"/>
      <c r="G255" s="20">
        <f t="shared" si="13"/>
        <v>0</v>
      </c>
      <c r="H255" s="44">
        <f t="shared" si="14"/>
        <v>0</v>
      </c>
    </row>
    <row r="256" spans="2:8" x14ac:dyDescent="0.2">
      <c r="B256" s="42"/>
      <c r="C256" s="17"/>
      <c r="D256" s="17"/>
      <c r="E256" s="44"/>
      <c r="F256" s="17"/>
      <c r="G256" s="20">
        <f t="shared" si="13"/>
        <v>0</v>
      </c>
      <c r="H256" s="44">
        <f t="shared" si="14"/>
        <v>0</v>
      </c>
    </row>
    <row r="257" spans="2:8" x14ac:dyDescent="0.2">
      <c r="B257" s="42"/>
      <c r="C257" s="17"/>
      <c r="D257" s="17"/>
      <c r="E257" s="44"/>
      <c r="F257" s="17"/>
      <c r="G257" s="20">
        <f t="shared" si="13"/>
        <v>0</v>
      </c>
      <c r="H257" s="44">
        <f t="shared" si="14"/>
        <v>0</v>
      </c>
    </row>
    <row r="258" spans="2:8" x14ac:dyDescent="0.2">
      <c r="B258" s="42"/>
      <c r="C258" s="17"/>
      <c r="D258" s="17"/>
      <c r="E258" s="44"/>
      <c r="F258" s="17"/>
      <c r="G258" s="20">
        <f t="shared" si="13"/>
        <v>0</v>
      </c>
      <c r="H258" s="44">
        <f t="shared" si="14"/>
        <v>0</v>
      </c>
    </row>
    <row r="259" spans="2:8" x14ac:dyDescent="0.2">
      <c r="B259" s="42"/>
      <c r="C259" s="17"/>
      <c r="D259" s="17"/>
      <c r="E259" s="44"/>
      <c r="F259" s="17"/>
      <c r="G259" s="20">
        <f t="shared" si="13"/>
        <v>0</v>
      </c>
      <c r="H259" s="44">
        <f t="shared" si="14"/>
        <v>0</v>
      </c>
    </row>
    <row r="260" spans="2:8" x14ac:dyDescent="0.2">
      <c r="B260" s="42"/>
      <c r="C260" s="17"/>
      <c r="D260" s="17"/>
      <c r="E260" s="44"/>
      <c r="F260" s="17"/>
      <c r="G260" s="20">
        <f t="shared" si="13"/>
        <v>0</v>
      </c>
      <c r="H260" s="44">
        <f t="shared" si="14"/>
        <v>0</v>
      </c>
    </row>
    <row r="261" spans="2:8" x14ac:dyDescent="0.2">
      <c r="B261" s="42"/>
      <c r="C261" s="17"/>
      <c r="D261" s="17"/>
      <c r="E261" s="44"/>
      <c r="F261" s="17"/>
      <c r="G261" s="20">
        <f t="shared" si="13"/>
        <v>0</v>
      </c>
      <c r="H261" s="44">
        <f t="shared" si="14"/>
        <v>0</v>
      </c>
    </row>
    <row r="262" spans="2:8" x14ac:dyDescent="0.2">
      <c r="B262" s="42"/>
      <c r="C262" s="17"/>
      <c r="D262" s="17"/>
      <c r="E262" s="44"/>
      <c r="F262" s="17"/>
      <c r="G262" s="20">
        <f t="shared" si="13"/>
        <v>0</v>
      </c>
      <c r="H262" s="44">
        <f t="shared" si="14"/>
        <v>0</v>
      </c>
    </row>
    <row r="263" spans="2:8" x14ac:dyDescent="0.2">
      <c r="B263" s="42"/>
      <c r="C263" s="17"/>
      <c r="D263" s="17"/>
      <c r="E263" s="44"/>
      <c r="F263" s="17"/>
      <c r="G263" s="20">
        <f t="shared" si="13"/>
        <v>0</v>
      </c>
      <c r="H263" s="44">
        <f t="shared" si="14"/>
        <v>0</v>
      </c>
    </row>
    <row r="264" spans="2:8" x14ac:dyDescent="0.2">
      <c r="B264" s="42"/>
      <c r="C264" s="17"/>
      <c r="D264" s="17"/>
      <c r="E264" s="44"/>
      <c r="F264" s="17"/>
      <c r="G264" s="20">
        <f t="shared" si="13"/>
        <v>0</v>
      </c>
      <c r="H264" s="44">
        <f t="shared" si="14"/>
        <v>0</v>
      </c>
    </row>
    <row r="265" spans="2:8" x14ac:dyDescent="0.2">
      <c r="B265" s="42"/>
      <c r="C265" s="17"/>
      <c r="D265" s="17"/>
      <c r="E265" s="44"/>
      <c r="F265" s="17"/>
      <c r="G265" s="20">
        <f t="shared" si="13"/>
        <v>0</v>
      </c>
      <c r="H265" s="44">
        <f t="shared" si="14"/>
        <v>0</v>
      </c>
    </row>
    <row r="266" spans="2:8" x14ac:dyDescent="0.2">
      <c r="B266" s="42"/>
      <c r="C266" s="17"/>
      <c r="D266" s="17"/>
      <c r="E266" s="44"/>
      <c r="F266" s="17"/>
      <c r="G266" s="20">
        <f t="shared" si="13"/>
        <v>0</v>
      </c>
      <c r="H266" s="44">
        <f t="shared" si="14"/>
        <v>0</v>
      </c>
    </row>
    <row r="267" spans="2:8" x14ac:dyDescent="0.2">
      <c r="B267" s="42"/>
      <c r="C267" s="17"/>
      <c r="D267" s="17"/>
      <c r="E267" s="44"/>
      <c r="F267" s="17"/>
      <c r="G267" s="20">
        <f t="shared" si="13"/>
        <v>0</v>
      </c>
      <c r="H267" s="44">
        <f t="shared" si="14"/>
        <v>0</v>
      </c>
    </row>
    <row r="268" spans="2:8" x14ac:dyDescent="0.2">
      <c r="B268" s="42"/>
      <c r="C268" s="17"/>
      <c r="D268" s="17"/>
      <c r="E268" s="44"/>
      <c r="F268" s="17"/>
      <c r="G268" s="20">
        <f t="shared" si="13"/>
        <v>0</v>
      </c>
      <c r="H268" s="44">
        <f t="shared" si="14"/>
        <v>0</v>
      </c>
    </row>
    <row r="269" spans="2:8" x14ac:dyDescent="0.2">
      <c r="B269" s="42"/>
      <c r="C269" s="17"/>
      <c r="D269" s="17"/>
      <c r="E269" s="44"/>
      <c r="F269" s="17"/>
      <c r="G269" s="20">
        <f t="shared" si="13"/>
        <v>0</v>
      </c>
      <c r="H269" s="44">
        <f t="shared" si="14"/>
        <v>0</v>
      </c>
    </row>
    <row r="270" spans="2:8" x14ac:dyDescent="0.2">
      <c r="B270" s="42"/>
      <c r="C270" s="17"/>
      <c r="D270" s="17"/>
      <c r="E270" s="44"/>
      <c r="F270" s="17"/>
      <c r="G270" s="20">
        <f t="shared" si="13"/>
        <v>0</v>
      </c>
      <c r="H270" s="44">
        <f t="shared" si="14"/>
        <v>0</v>
      </c>
    </row>
    <row r="271" spans="2:8" x14ac:dyDescent="0.2">
      <c r="B271" s="42"/>
      <c r="C271" s="17"/>
      <c r="D271" s="17"/>
      <c r="E271" s="44"/>
      <c r="F271" s="17"/>
      <c r="G271" s="20">
        <f t="shared" si="13"/>
        <v>0</v>
      </c>
      <c r="H271" s="44">
        <f t="shared" si="14"/>
        <v>0</v>
      </c>
    </row>
    <row r="272" spans="2:8" x14ac:dyDescent="0.2">
      <c r="B272" s="42"/>
      <c r="C272" s="17"/>
      <c r="D272" s="17"/>
      <c r="E272" s="44"/>
      <c r="F272" s="17"/>
      <c r="G272" s="20">
        <f t="shared" si="13"/>
        <v>0</v>
      </c>
      <c r="H272" s="44">
        <f t="shared" si="14"/>
        <v>0</v>
      </c>
    </row>
    <row r="273" spans="2:8" x14ac:dyDescent="0.2">
      <c r="B273" s="42"/>
      <c r="C273" s="17"/>
      <c r="D273" s="17"/>
      <c r="E273" s="44"/>
      <c r="F273" s="17"/>
      <c r="G273" s="20">
        <f t="shared" ref="G273:G291" si="15">D273</f>
        <v>0</v>
      </c>
      <c r="H273" s="44">
        <f t="shared" ref="H273:H291" si="16">+G273*F273</f>
        <v>0</v>
      </c>
    </row>
    <row r="274" spans="2:8" x14ac:dyDescent="0.2">
      <c r="B274" s="42"/>
      <c r="C274" s="17"/>
      <c r="D274" s="17"/>
      <c r="E274" s="44"/>
      <c r="F274" s="17"/>
      <c r="G274" s="20">
        <f t="shared" si="15"/>
        <v>0</v>
      </c>
      <c r="H274" s="44"/>
    </row>
    <row r="275" spans="2:8" x14ac:dyDescent="0.2">
      <c r="B275" s="42"/>
      <c r="C275" s="17"/>
      <c r="D275" s="17"/>
      <c r="E275" s="44"/>
      <c r="F275" s="17"/>
      <c r="G275" s="20">
        <f t="shared" si="15"/>
        <v>0</v>
      </c>
      <c r="H275" s="44"/>
    </row>
    <row r="276" spans="2:8" x14ac:dyDescent="0.2">
      <c r="B276" s="42"/>
      <c r="C276" s="17"/>
      <c r="D276" s="17"/>
      <c r="E276" s="44"/>
      <c r="F276" s="17"/>
      <c r="G276" s="20">
        <f t="shared" si="15"/>
        <v>0</v>
      </c>
      <c r="H276" s="44">
        <f t="shared" si="16"/>
        <v>0</v>
      </c>
    </row>
    <row r="277" spans="2:8" x14ac:dyDescent="0.2">
      <c r="B277" s="42"/>
      <c r="C277" s="17"/>
      <c r="D277" s="17"/>
      <c r="E277" s="44"/>
      <c r="F277" s="17"/>
      <c r="G277" s="20">
        <f t="shared" si="15"/>
        <v>0</v>
      </c>
      <c r="H277" s="44">
        <f t="shared" si="16"/>
        <v>0</v>
      </c>
    </row>
    <row r="278" spans="2:8" hidden="1" x14ac:dyDescent="0.2">
      <c r="B278" s="42"/>
      <c r="C278" s="17"/>
      <c r="D278" s="17"/>
      <c r="E278" s="17"/>
      <c r="F278" s="17"/>
      <c r="G278" s="20">
        <f t="shared" si="15"/>
        <v>0</v>
      </c>
      <c r="H278" s="44">
        <f t="shared" si="16"/>
        <v>0</v>
      </c>
    </row>
    <row r="279" spans="2:8" hidden="1" x14ac:dyDescent="0.2">
      <c r="B279" s="42"/>
      <c r="C279" s="17"/>
      <c r="D279" s="17"/>
      <c r="E279" s="17"/>
      <c r="F279" s="17"/>
      <c r="G279" s="20">
        <f t="shared" si="15"/>
        <v>0</v>
      </c>
      <c r="H279" s="44">
        <f t="shared" si="16"/>
        <v>0</v>
      </c>
    </row>
    <row r="280" spans="2:8" hidden="1" x14ac:dyDescent="0.2">
      <c r="B280" s="42"/>
      <c r="C280" s="17"/>
      <c r="D280" s="17"/>
      <c r="E280" s="17"/>
      <c r="F280" s="17"/>
      <c r="G280" s="20">
        <f t="shared" si="15"/>
        <v>0</v>
      </c>
      <c r="H280" s="44">
        <f t="shared" si="16"/>
        <v>0</v>
      </c>
    </row>
    <row r="281" spans="2:8" hidden="1" x14ac:dyDescent="0.2">
      <c r="B281" s="42"/>
      <c r="C281" s="17"/>
      <c r="D281" s="17"/>
      <c r="E281" s="17"/>
      <c r="F281" s="17"/>
      <c r="G281" s="20">
        <f t="shared" si="15"/>
        <v>0</v>
      </c>
      <c r="H281" s="44">
        <f t="shared" si="16"/>
        <v>0</v>
      </c>
    </row>
    <row r="282" spans="2:8" hidden="1" x14ac:dyDescent="0.2">
      <c r="B282" s="42"/>
      <c r="C282" s="17"/>
      <c r="D282" s="17"/>
      <c r="E282" s="17"/>
      <c r="F282" s="17"/>
      <c r="G282" s="20">
        <f t="shared" si="15"/>
        <v>0</v>
      </c>
      <c r="H282" s="44">
        <f t="shared" si="16"/>
        <v>0</v>
      </c>
    </row>
    <row r="283" spans="2:8" hidden="1" x14ac:dyDescent="0.2">
      <c r="B283" s="42"/>
      <c r="C283" s="17"/>
      <c r="D283" s="17"/>
      <c r="E283" s="17"/>
      <c r="F283" s="17"/>
      <c r="G283" s="20">
        <f t="shared" si="15"/>
        <v>0</v>
      </c>
      <c r="H283" s="44">
        <f t="shared" si="16"/>
        <v>0</v>
      </c>
    </row>
    <row r="284" spans="2:8" hidden="1" x14ac:dyDescent="0.2">
      <c r="B284" s="42"/>
      <c r="C284" s="17"/>
      <c r="D284" s="17"/>
      <c r="E284" s="17"/>
      <c r="F284" s="17"/>
      <c r="G284" s="20">
        <f t="shared" si="15"/>
        <v>0</v>
      </c>
      <c r="H284" s="44">
        <f t="shared" si="16"/>
        <v>0</v>
      </c>
    </row>
    <row r="285" spans="2:8" hidden="1" x14ac:dyDescent="0.2">
      <c r="B285" s="56"/>
      <c r="C285" s="52"/>
      <c r="D285" s="52"/>
      <c r="E285" s="52"/>
      <c r="F285" s="17"/>
      <c r="G285" s="20">
        <f t="shared" si="15"/>
        <v>0</v>
      </c>
      <c r="H285" s="44">
        <f t="shared" si="16"/>
        <v>0</v>
      </c>
    </row>
    <row r="286" spans="2:8" hidden="1" x14ac:dyDescent="0.2">
      <c r="B286" s="42"/>
      <c r="C286" s="17"/>
      <c r="D286" s="17"/>
      <c r="E286" s="17"/>
      <c r="F286" s="17"/>
      <c r="G286" s="20">
        <f t="shared" si="15"/>
        <v>0</v>
      </c>
      <c r="H286" s="44">
        <f t="shared" si="16"/>
        <v>0</v>
      </c>
    </row>
    <row r="287" spans="2:8" hidden="1" x14ac:dyDescent="0.2">
      <c r="B287" s="42"/>
      <c r="C287" s="17"/>
      <c r="D287" s="17"/>
      <c r="E287" s="17"/>
      <c r="F287" s="17"/>
      <c r="G287" s="20">
        <f t="shared" si="15"/>
        <v>0</v>
      </c>
      <c r="H287" s="44">
        <f t="shared" si="16"/>
        <v>0</v>
      </c>
    </row>
    <row r="288" spans="2:8" hidden="1" x14ac:dyDescent="0.2">
      <c r="B288" s="42"/>
      <c r="C288" s="17"/>
      <c r="D288" s="17"/>
      <c r="E288" s="17"/>
      <c r="F288" s="17"/>
      <c r="G288" s="20">
        <f t="shared" si="15"/>
        <v>0</v>
      </c>
      <c r="H288" s="44">
        <f t="shared" si="16"/>
        <v>0</v>
      </c>
    </row>
    <row r="289" spans="2:8" hidden="1" x14ac:dyDescent="0.2">
      <c r="B289" s="42"/>
      <c r="C289" s="17"/>
      <c r="D289" s="17"/>
      <c r="E289" s="17"/>
      <c r="F289" s="17"/>
      <c r="G289" s="20">
        <f t="shared" si="15"/>
        <v>0</v>
      </c>
      <c r="H289" s="44">
        <f t="shared" si="16"/>
        <v>0</v>
      </c>
    </row>
    <row r="290" spans="2:8" hidden="1" x14ac:dyDescent="0.2">
      <c r="B290" s="42"/>
      <c r="C290" s="17"/>
      <c r="D290" s="17"/>
      <c r="E290" s="17"/>
      <c r="F290" s="17"/>
      <c r="G290" s="20">
        <f t="shared" si="15"/>
        <v>0</v>
      </c>
      <c r="H290" s="44">
        <f t="shared" si="16"/>
        <v>0</v>
      </c>
    </row>
    <row r="291" spans="2:8" x14ac:dyDescent="0.2">
      <c r="B291" s="42"/>
      <c r="C291" s="45" t="s">
        <v>23</v>
      </c>
      <c r="D291" s="17"/>
      <c r="E291" s="52"/>
      <c r="F291" s="17"/>
      <c r="G291" s="20">
        <f t="shared" si="15"/>
        <v>0</v>
      </c>
      <c r="H291" s="44">
        <f t="shared" si="16"/>
        <v>0</v>
      </c>
    </row>
    <row r="292" spans="2:8" ht="13.5" thickBot="1" x14ac:dyDescent="0.25">
      <c r="B292" s="7"/>
      <c r="C292" s="27"/>
      <c r="D292" s="28" t="s">
        <v>24</v>
      </c>
      <c r="E292" s="29"/>
      <c r="F292" s="27"/>
      <c r="G292" s="28" t="s">
        <v>24</v>
      </c>
      <c r="H292" s="57">
        <f>SUM(H241:H291)</f>
        <v>0</v>
      </c>
    </row>
    <row r="293" spans="2:8" ht="13.5" thickBot="1" x14ac:dyDescent="0.25">
      <c r="B293" s="7"/>
      <c r="C293" s="27"/>
      <c r="D293" s="33" t="s">
        <v>25</v>
      </c>
      <c r="E293" s="32"/>
      <c r="F293" s="27"/>
      <c r="G293" s="33" t="s">
        <v>25</v>
      </c>
      <c r="H293" s="34"/>
    </row>
    <row r="298" spans="2:8" ht="13.5" thickBot="1" x14ac:dyDescent="0.25">
      <c r="B298" s="208" t="s">
        <v>27</v>
      </c>
      <c r="C298" s="208"/>
      <c r="D298" s="208"/>
      <c r="E298" s="208"/>
      <c r="F298" s="208"/>
      <c r="G298" s="208"/>
      <c r="H298" s="208"/>
    </row>
    <row r="299" spans="2:8" ht="13.5" thickBot="1" x14ac:dyDescent="0.25">
      <c r="B299" s="35"/>
      <c r="C299" s="36"/>
      <c r="D299" s="37" t="s">
        <v>12</v>
      </c>
      <c r="E299" s="38"/>
      <c r="F299" s="39"/>
      <c r="G299" s="11" t="s">
        <v>13</v>
      </c>
      <c r="H299" s="38"/>
    </row>
    <row r="300" spans="2:8" x14ac:dyDescent="0.2">
      <c r="B300" s="13" t="s">
        <v>19</v>
      </c>
      <c r="C300" s="13" t="s">
        <v>20</v>
      </c>
      <c r="D300" s="13" t="s">
        <v>21</v>
      </c>
      <c r="E300" s="13" t="s">
        <v>22</v>
      </c>
      <c r="F300" s="13" t="s">
        <v>20</v>
      </c>
      <c r="G300" s="13" t="s">
        <v>21</v>
      </c>
      <c r="H300" s="53" t="s">
        <v>22</v>
      </c>
    </row>
    <row r="301" spans="2:8" x14ac:dyDescent="0.2">
      <c r="B301" s="42"/>
      <c r="C301" s="17"/>
      <c r="D301" s="17"/>
      <c r="E301" s="44"/>
      <c r="F301" s="17"/>
      <c r="G301" s="20">
        <f t="shared" ref="G301:G318" si="17">D301</f>
        <v>0</v>
      </c>
      <c r="H301" s="44">
        <f t="shared" ref="H301:H318" si="18">+G301*F301</f>
        <v>0</v>
      </c>
    </row>
    <row r="302" spans="2:8" x14ac:dyDescent="0.2">
      <c r="B302" s="42"/>
      <c r="C302" s="17"/>
      <c r="D302" s="17"/>
      <c r="E302" s="44"/>
      <c r="F302" s="17"/>
      <c r="G302" s="20">
        <f t="shared" si="17"/>
        <v>0</v>
      </c>
      <c r="H302" s="44">
        <f t="shared" si="18"/>
        <v>0</v>
      </c>
    </row>
    <row r="303" spans="2:8" x14ac:dyDescent="0.2">
      <c r="B303" s="42"/>
      <c r="C303" s="17"/>
      <c r="D303" s="17"/>
      <c r="E303" s="44"/>
      <c r="F303" s="17"/>
      <c r="G303" s="20">
        <f t="shared" si="17"/>
        <v>0</v>
      </c>
      <c r="H303" s="44">
        <f t="shared" si="18"/>
        <v>0</v>
      </c>
    </row>
    <row r="304" spans="2:8" x14ac:dyDescent="0.2">
      <c r="B304" s="42"/>
      <c r="C304" s="17"/>
      <c r="D304" s="17"/>
      <c r="E304" s="44"/>
      <c r="F304" s="17"/>
      <c r="G304" s="20">
        <f t="shared" si="17"/>
        <v>0</v>
      </c>
      <c r="H304" s="44">
        <f t="shared" si="18"/>
        <v>0</v>
      </c>
    </row>
    <row r="305" spans="2:8" x14ac:dyDescent="0.2">
      <c r="B305" s="42"/>
      <c r="C305" s="17"/>
      <c r="D305" s="17"/>
      <c r="E305" s="44"/>
      <c r="F305" s="17"/>
      <c r="G305" s="20">
        <f t="shared" si="17"/>
        <v>0</v>
      </c>
      <c r="H305" s="44">
        <f t="shared" si="18"/>
        <v>0</v>
      </c>
    </row>
    <row r="306" spans="2:8" x14ac:dyDescent="0.2">
      <c r="B306" s="42"/>
      <c r="C306" s="17"/>
      <c r="D306" s="17"/>
      <c r="E306" s="44"/>
      <c r="F306" s="17"/>
      <c r="G306" s="20">
        <f t="shared" si="17"/>
        <v>0</v>
      </c>
      <c r="H306" s="44">
        <f t="shared" si="18"/>
        <v>0</v>
      </c>
    </row>
    <row r="307" spans="2:8" x14ac:dyDescent="0.2">
      <c r="B307" s="42"/>
      <c r="C307" s="17"/>
      <c r="D307" s="17"/>
      <c r="E307" s="44"/>
      <c r="F307" s="17"/>
      <c r="G307" s="20">
        <f t="shared" si="17"/>
        <v>0</v>
      </c>
      <c r="H307" s="44">
        <f t="shared" si="18"/>
        <v>0</v>
      </c>
    </row>
    <row r="308" spans="2:8" x14ac:dyDescent="0.2">
      <c r="B308" s="42"/>
      <c r="C308" s="17"/>
      <c r="D308" s="17"/>
      <c r="E308" s="44"/>
      <c r="F308" s="17"/>
      <c r="G308" s="20">
        <f t="shared" si="17"/>
        <v>0</v>
      </c>
      <c r="H308" s="44">
        <f t="shared" si="18"/>
        <v>0</v>
      </c>
    </row>
    <row r="309" spans="2:8" x14ac:dyDescent="0.2">
      <c r="B309" s="42"/>
      <c r="C309" s="17"/>
      <c r="D309" s="17"/>
      <c r="E309" s="44"/>
      <c r="F309" s="17"/>
      <c r="G309" s="20">
        <f t="shared" si="17"/>
        <v>0</v>
      </c>
      <c r="H309" s="44">
        <f t="shared" si="18"/>
        <v>0</v>
      </c>
    </row>
    <row r="310" spans="2:8" x14ac:dyDescent="0.2">
      <c r="B310" s="42"/>
      <c r="C310" s="17"/>
      <c r="D310" s="17"/>
      <c r="E310" s="44"/>
      <c r="F310" s="17"/>
      <c r="G310" s="20">
        <f t="shared" si="17"/>
        <v>0</v>
      </c>
      <c r="H310" s="44">
        <f t="shared" si="18"/>
        <v>0</v>
      </c>
    </row>
    <row r="311" spans="2:8" x14ac:dyDescent="0.2">
      <c r="B311" s="42"/>
      <c r="C311" s="17"/>
      <c r="D311" s="17"/>
      <c r="E311" s="44"/>
      <c r="F311" s="17"/>
      <c r="G311" s="20">
        <f t="shared" si="17"/>
        <v>0</v>
      </c>
      <c r="H311" s="44">
        <f t="shared" si="18"/>
        <v>0</v>
      </c>
    </row>
    <row r="312" spans="2:8" x14ac:dyDescent="0.2">
      <c r="B312" s="42"/>
      <c r="C312" s="17"/>
      <c r="D312" s="17"/>
      <c r="E312" s="44"/>
      <c r="F312" s="17"/>
      <c r="G312" s="20">
        <f t="shared" si="17"/>
        <v>0</v>
      </c>
      <c r="H312" s="44">
        <f t="shared" si="18"/>
        <v>0</v>
      </c>
    </row>
    <row r="313" spans="2:8" x14ac:dyDescent="0.2">
      <c r="B313" s="42"/>
      <c r="C313" s="17"/>
      <c r="D313" s="17"/>
      <c r="E313" s="44"/>
      <c r="F313" s="17"/>
      <c r="G313" s="20">
        <f t="shared" si="17"/>
        <v>0</v>
      </c>
      <c r="H313" s="44">
        <f t="shared" si="18"/>
        <v>0</v>
      </c>
    </row>
    <row r="314" spans="2:8" x14ac:dyDescent="0.2">
      <c r="B314" s="42"/>
      <c r="C314" s="17"/>
      <c r="D314" s="17"/>
      <c r="E314" s="44"/>
      <c r="F314" s="17"/>
      <c r="G314" s="20">
        <f t="shared" si="17"/>
        <v>0</v>
      </c>
      <c r="H314" s="44">
        <f t="shared" si="18"/>
        <v>0</v>
      </c>
    </row>
    <row r="315" spans="2:8" x14ac:dyDescent="0.2">
      <c r="B315" s="58"/>
      <c r="C315" s="17"/>
      <c r="D315" s="17"/>
      <c r="E315" s="44"/>
      <c r="F315" s="17"/>
      <c r="G315" s="20">
        <f t="shared" si="17"/>
        <v>0</v>
      </c>
      <c r="H315" s="44">
        <f t="shared" si="18"/>
        <v>0</v>
      </c>
    </row>
    <row r="316" spans="2:8" x14ac:dyDescent="0.2">
      <c r="B316" s="58"/>
      <c r="C316" s="17"/>
      <c r="D316" s="17"/>
      <c r="E316" s="44"/>
      <c r="F316" s="17"/>
      <c r="G316" s="20">
        <f t="shared" si="17"/>
        <v>0</v>
      </c>
      <c r="H316" s="44">
        <f t="shared" si="18"/>
        <v>0</v>
      </c>
    </row>
    <row r="317" spans="2:8" x14ac:dyDescent="0.2">
      <c r="B317" s="42"/>
      <c r="C317" s="17"/>
      <c r="D317" s="17"/>
      <c r="E317" s="44"/>
      <c r="F317" s="17"/>
      <c r="G317" s="20">
        <f t="shared" si="17"/>
        <v>0</v>
      </c>
      <c r="H317" s="44">
        <f t="shared" si="18"/>
        <v>0</v>
      </c>
    </row>
    <row r="318" spans="2:8" x14ac:dyDescent="0.2">
      <c r="B318" s="42"/>
      <c r="C318" s="17"/>
      <c r="D318" s="17"/>
      <c r="E318" s="17"/>
      <c r="F318" s="17"/>
      <c r="G318" s="20">
        <f t="shared" si="17"/>
        <v>0</v>
      </c>
      <c r="H318" s="44">
        <f t="shared" si="18"/>
        <v>0</v>
      </c>
    </row>
    <row r="319" spans="2:8" ht="13.5" thickBot="1" x14ac:dyDescent="0.25">
      <c r="B319" s="42"/>
      <c r="C319" s="45" t="s">
        <v>23</v>
      </c>
      <c r="D319" s="17"/>
      <c r="E319" s="52"/>
      <c r="F319" s="17"/>
      <c r="G319" s="52" t="s">
        <v>28</v>
      </c>
      <c r="H319" s="49">
        <f>SUM(H301:H318)</f>
        <v>0</v>
      </c>
    </row>
    <row r="320" spans="2:8" ht="13.5" thickBot="1" x14ac:dyDescent="0.25">
      <c r="B320" s="7"/>
      <c r="C320" s="27"/>
      <c r="D320" s="33" t="s">
        <v>24</v>
      </c>
      <c r="E320" s="32"/>
      <c r="F320" s="27"/>
      <c r="G320" s="33" t="s">
        <v>24</v>
      </c>
      <c r="H320" s="34">
        <f>H319</f>
        <v>0</v>
      </c>
    </row>
    <row r="321" spans="2:8" ht="13.5" thickBot="1" x14ac:dyDescent="0.25">
      <c r="B321" s="7"/>
      <c r="C321" s="27"/>
      <c r="D321" s="33" t="s">
        <v>25</v>
      </c>
      <c r="E321" s="32"/>
      <c r="F321" s="27"/>
      <c r="G321" s="33" t="s">
        <v>25</v>
      </c>
      <c r="H321" s="34" t="e">
        <f>H319/#REF!</f>
        <v>#REF!</v>
      </c>
    </row>
    <row r="322" spans="2:8" ht="16.5" thickBot="1" x14ac:dyDescent="0.3">
      <c r="B322" s="203" t="s">
        <v>29</v>
      </c>
      <c r="C322" s="203"/>
      <c r="D322" s="203"/>
      <c r="E322" s="203"/>
      <c r="F322" s="203"/>
      <c r="G322" s="203"/>
      <c r="H322" s="203"/>
    </row>
    <row r="323" spans="2:8" ht="13.5" thickBot="1" x14ac:dyDescent="0.25">
      <c r="B323" s="35"/>
      <c r="C323" s="36"/>
      <c r="D323" s="37" t="s">
        <v>12</v>
      </c>
      <c r="E323" s="38"/>
      <c r="F323" s="39"/>
      <c r="G323" s="11" t="s">
        <v>13</v>
      </c>
      <c r="H323" s="38"/>
    </row>
    <row r="324" spans="2:8" x14ac:dyDescent="0.2">
      <c r="B324" s="13" t="s">
        <v>19</v>
      </c>
      <c r="C324" s="13" t="s">
        <v>20</v>
      </c>
      <c r="D324" s="13" t="s">
        <v>21</v>
      </c>
      <c r="E324" s="13" t="s">
        <v>22</v>
      </c>
      <c r="F324" s="13" t="s">
        <v>20</v>
      </c>
      <c r="G324" s="13" t="s">
        <v>21</v>
      </c>
      <c r="H324" s="53" t="s">
        <v>22</v>
      </c>
    </row>
    <row r="325" spans="2:8" x14ac:dyDescent="0.2">
      <c r="B325" s="42"/>
      <c r="C325" s="17"/>
      <c r="D325" s="17"/>
      <c r="E325" s="44"/>
      <c r="F325" s="17"/>
      <c r="G325" s="20">
        <f t="shared" ref="G325:G336" si="19">D325</f>
        <v>0</v>
      </c>
      <c r="H325" s="44">
        <f t="shared" ref="H325:H336" si="20">+G325*F325</f>
        <v>0</v>
      </c>
    </row>
    <row r="326" spans="2:8" x14ac:dyDescent="0.2">
      <c r="B326" s="42"/>
      <c r="C326" s="17"/>
      <c r="D326" s="17"/>
      <c r="E326" s="44"/>
      <c r="F326" s="17"/>
      <c r="G326" s="20">
        <f t="shared" si="19"/>
        <v>0</v>
      </c>
      <c r="H326" s="44">
        <f t="shared" si="20"/>
        <v>0</v>
      </c>
    </row>
    <row r="327" spans="2:8" x14ac:dyDescent="0.2">
      <c r="B327" s="42"/>
      <c r="C327" s="17"/>
      <c r="D327" s="17"/>
      <c r="E327" s="44"/>
      <c r="F327" s="17"/>
      <c r="G327" s="20">
        <f t="shared" si="19"/>
        <v>0</v>
      </c>
      <c r="H327" s="44">
        <f t="shared" si="20"/>
        <v>0</v>
      </c>
    </row>
    <row r="328" spans="2:8" x14ac:dyDescent="0.2">
      <c r="B328" s="42"/>
      <c r="C328" s="17"/>
      <c r="D328" s="17"/>
      <c r="E328" s="44"/>
      <c r="F328" s="17"/>
      <c r="G328" s="20">
        <f t="shared" si="19"/>
        <v>0</v>
      </c>
      <c r="H328" s="44">
        <f t="shared" si="20"/>
        <v>0</v>
      </c>
    </row>
    <row r="329" spans="2:8" x14ac:dyDescent="0.2">
      <c r="B329" s="42"/>
      <c r="C329" s="17"/>
      <c r="D329" s="17"/>
      <c r="E329" s="44"/>
      <c r="F329" s="17"/>
      <c r="G329" s="20">
        <f t="shared" si="19"/>
        <v>0</v>
      </c>
      <c r="H329" s="44">
        <f t="shared" si="20"/>
        <v>0</v>
      </c>
    </row>
    <row r="330" spans="2:8" x14ac:dyDescent="0.2">
      <c r="B330" s="42"/>
      <c r="C330" s="17"/>
      <c r="D330" s="17"/>
      <c r="E330" s="44"/>
      <c r="F330" s="17"/>
      <c r="G330" s="20">
        <f t="shared" si="19"/>
        <v>0</v>
      </c>
      <c r="H330" s="44">
        <f t="shared" si="20"/>
        <v>0</v>
      </c>
    </row>
    <row r="331" spans="2:8" x14ac:dyDescent="0.2">
      <c r="B331" s="42"/>
      <c r="C331" s="17"/>
      <c r="D331" s="17"/>
      <c r="E331" s="44"/>
      <c r="F331" s="17"/>
      <c r="G331" s="20">
        <f t="shared" si="19"/>
        <v>0</v>
      </c>
      <c r="H331" s="44">
        <f t="shared" si="20"/>
        <v>0</v>
      </c>
    </row>
    <row r="332" spans="2:8" x14ac:dyDescent="0.2">
      <c r="B332" s="42"/>
      <c r="C332" s="17"/>
      <c r="D332" s="17"/>
      <c r="E332" s="44"/>
      <c r="F332" s="17"/>
      <c r="G332" s="20">
        <f t="shared" si="19"/>
        <v>0</v>
      </c>
      <c r="H332" s="44">
        <f t="shared" si="20"/>
        <v>0</v>
      </c>
    </row>
    <row r="333" spans="2:8" x14ac:dyDescent="0.2">
      <c r="B333" s="42"/>
      <c r="C333" s="17"/>
      <c r="D333" s="17"/>
      <c r="E333" s="44"/>
      <c r="F333" s="17"/>
      <c r="G333" s="20">
        <f t="shared" si="19"/>
        <v>0</v>
      </c>
      <c r="H333" s="44">
        <f t="shared" si="20"/>
        <v>0</v>
      </c>
    </row>
    <row r="334" spans="2:8" x14ac:dyDescent="0.2">
      <c r="B334" s="42"/>
      <c r="C334" s="17"/>
      <c r="D334" s="17"/>
      <c r="E334" s="44"/>
      <c r="F334" s="17"/>
      <c r="G334" s="20">
        <f t="shared" si="19"/>
        <v>0</v>
      </c>
      <c r="H334" s="44">
        <f t="shared" si="20"/>
        <v>0</v>
      </c>
    </row>
    <row r="335" spans="2:8" x14ac:dyDescent="0.2">
      <c r="B335" s="42"/>
      <c r="C335" s="17"/>
      <c r="D335" s="17"/>
      <c r="E335" s="44"/>
      <c r="F335" s="17"/>
      <c r="G335" s="20">
        <f t="shared" si="19"/>
        <v>0</v>
      </c>
      <c r="H335" s="44">
        <f t="shared" si="20"/>
        <v>0</v>
      </c>
    </row>
    <row r="336" spans="2:8" x14ac:dyDescent="0.2">
      <c r="B336" s="42"/>
      <c r="C336" s="17"/>
      <c r="D336" s="17"/>
      <c r="E336" s="44"/>
      <c r="F336" s="17"/>
      <c r="G336" s="20">
        <f t="shared" si="19"/>
        <v>0</v>
      </c>
      <c r="H336" s="44">
        <f t="shared" si="20"/>
        <v>0</v>
      </c>
    </row>
    <row r="337" spans="2:8" x14ac:dyDescent="0.2">
      <c r="B337" s="42"/>
      <c r="C337" s="17"/>
      <c r="D337" s="17"/>
      <c r="E337" s="44"/>
      <c r="F337" s="17"/>
      <c r="G337" s="17"/>
      <c r="H337" s="17"/>
    </row>
    <row r="338" spans="2:8" x14ac:dyDescent="0.2">
      <c r="B338" s="42"/>
      <c r="C338" s="17"/>
      <c r="D338" s="17"/>
      <c r="E338" s="44"/>
      <c r="F338" s="17"/>
      <c r="G338" s="17"/>
      <c r="H338" s="17"/>
    </row>
    <row r="339" spans="2:8" x14ac:dyDescent="0.2">
      <c r="B339" s="42"/>
      <c r="C339" s="17"/>
      <c r="D339" s="17"/>
      <c r="E339" s="44"/>
      <c r="F339" s="17"/>
      <c r="G339" s="17"/>
      <c r="H339" s="17"/>
    </row>
    <row r="340" spans="2:8" x14ac:dyDescent="0.2">
      <c r="B340" s="42"/>
      <c r="C340" s="17"/>
      <c r="D340" s="17"/>
      <c r="E340" s="44"/>
      <c r="F340" s="17"/>
      <c r="G340" s="17"/>
      <c r="H340" s="17"/>
    </row>
    <row r="341" spans="2:8" ht="13.5" thickBot="1" x14ac:dyDescent="0.25">
      <c r="B341" s="42"/>
      <c r="C341" s="45" t="s">
        <v>23</v>
      </c>
      <c r="D341" s="17"/>
      <c r="E341" s="52"/>
      <c r="F341" s="17"/>
      <c r="G341" s="17"/>
      <c r="H341" s="49">
        <f>SUM(H325:H340)</f>
        <v>0</v>
      </c>
    </row>
    <row r="342" spans="2:8" ht="13.5" thickBot="1" x14ac:dyDescent="0.25">
      <c r="B342" s="7"/>
      <c r="C342" s="27"/>
      <c r="D342" s="33" t="s">
        <v>24</v>
      </c>
      <c r="E342" s="32"/>
      <c r="F342" s="27"/>
      <c r="G342" s="33" t="s">
        <v>24</v>
      </c>
      <c r="H342" s="34">
        <f>H341</f>
        <v>0</v>
      </c>
    </row>
    <row r="343" spans="2:8" ht="13.5" thickBot="1" x14ac:dyDescent="0.25">
      <c r="B343" s="7"/>
      <c r="C343" s="27"/>
      <c r="D343" s="31" t="s">
        <v>25</v>
      </c>
      <c r="E343" s="59"/>
      <c r="F343" s="27"/>
      <c r="G343" s="33" t="s">
        <v>25</v>
      </c>
      <c r="H343" s="34" t="e">
        <f>H341/#REF!</f>
        <v>#REF!</v>
      </c>
    </row>
    <row r="345" spans="2:8" ht="13.5" thickBot="1" x14ac:dyDescent="0.25"/>
    <row r="346" spans="2:8" ht="13.5" thickBot="1" x14ac:dyDescent="0.25">
      <c r="B346" s="8" t="s">
        <v>30</v>
      </c>
      <c r="D346" s="50"/>
      <c r="E346" s="60"/>
      <c r="F346" s="61" t="s">
        <v>30</v>
      </c>
      <c r="G346" s="60"/>
      <c r="H346" s="50"/>
    </row>
    <row r="347" spans="2:8" ht="13.5" thickBot="1" x14ac:dyDescent="0.25">
      <c r="B347" s="8" t="s">
        <v>31</v>
      </c>
      <c r="D347" s="50"/>
      <c r="E347" s="60"/>
      <c r="F347" s="61" t="s">
        <v>31</v>
      </c>
      <c r="G347" s="60"/>
      <c r="H347" s="50"/>
    </row>
    <row r="348" spans="2:8" ht="13.5" thickBot="1" x14ac:dyDescent="0.25">
      <c r="B348" s="8" t="s">
        <v>24</v>
      </c>
      <c r="D348" s="50"/>
      <c r="E348" s="60"/>
      <c r="F348" s="61" t="s">
        <v>24</v>
      </c>
      <c r="G348" s="60"/>
      <c r="H348" s="50"/>
    </row>
    <row r="349" spans="2:8" ht="13.5" thickBot="1" x14ac:dyDescent="0.25">
      <c r="D349" s="60"/>
      <c r="E349" s="60"/>
      <c r="F349" s="60"/>
      <c r="G349" s="60"/>
      <c r="H349" s="60"/>
    </row>
    <row r="350" spans="2:8" ht="13.5" thickBot="1" x14ac:dyDescent="0.25">
      <c r="C350" s="9" t="s">
        <v>32</v>
      </c>
      <c r="D350" s="62"/>
      <c r="E350" s="60"/>
      <c r="F350" s="60"/>
      <c r="G350" s="31" t="s">
        <v>33</v>
      </c>
      <c r="H350" s="62"/>
    </row>
  </sheetData>
  <mergeCells count="12">
    <mergeCell ref="B21:H21"/>
    <mergeCell ref="B22:E22"/>
    <mergeCell ref="F22:H22"/>
    <mergeCell ref="B66:H66"/>
    <mergeCell ref="B322:H322"/>
    <mergeCell ref="B115:H115"/>
    <mergeCell ref="B157:H157"/>
    <mergeCell ref="B238:H238"/>
    <mergeCell ref="B199:H199"/>
    <mergeCell ref="B200:E200"/>
    <mergeCell ref="F200:H200"/>
    <mergeCell ref="B298:H298"/>
  </mergeCells>
  <phoneticPr fontId="0" type="noConversion"/>
  <pageMargins left="0.57999999999999996" right="0.75" top="1" bottom="1" header="0" footer="0"/>
  <pageSetup scale="61" orientation="portrait" r:id="rId1"/>
  <headerFooter alignWithMargins="0"/>
  <rowBreaks count="2" manualBreakCount="2">
    <brk id="65" max="7" man="1"/>
    <brk id="156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H457"/>
  <sheetViews>
    <sheetView showGridLines="0" topLeftCell="A4" zoomScale="70" zoomScaleNormal="70" workbookViewId="0">
      <selection activeCell="C36" sqref="C36"/>
    </sheetView>
  </sheetViews>
  <sheetFormatPr baseColWidth="10" defaultColWidth="11.42578125" defaultRowHeight="14.25" x14ac:dyDescent="0.2"/>
  <cols>
    <col min="1" max="1" width="7.7109375" style="81" bestFit="1" customWidth="1"/>
    <col min="2" max="2" width="52.140625" style="81" bestFit="1" customWidth="1"/>
    <col min="3" max="3" width="24.7109375" style="174" bestFit="1" customWidth="1"/>
    <col min="4" max="4" width="1.5703125" style="81" customWidth="1"/>
    <col min="5" max="5" width="58.42578125" style="81" bestFit="1" customWidth="1"/>
    <col min="6" max="6" width="14.85546875" style="81" bestFit="1" customWidth="1"/>
    <col min="7" max="7" width="36.85546875" style="81" bestFit="1" customWidth="1"/>
    <col min="8" max="16384" width="11.42578125" style="81"/>
  </cols>
  <sheetData>
    <row r="1" spans="1:7" ht="15" thickBot="1" x14ac:dyDescent="0.25"/>
    <row r="2" spans="1:7" ht="16.5" x14ac:dyDescent="0.25">
      <c r="A2" s="232" t="s">
        <v>52</v>
      </c>
      <c r="B2" s="233" t="s">
        <v>994</v>
      </c>
      <c r="C2" s="234" t="s">
        <v>995</v>
      </c>
      <c r="D2" s="235"/>
      <c r="E2" s="236" t="s">
        <v>996</v>
      </c>
      <c r="F2" s="236" t="s">
        <v>997</v>
      </c>
      <c r="G2" s="235"/>
    </row>
    <row r="3" spans="1:7" ht="16.5" x14ac:dyDescent="0.3">
      <c r="A3" s="237" t="s">
        <v>999</v>
      </c>
      <c r="B3" s="238" t="s">
        <v>1338</v>
      </c>
      <c r="C3" s="239">
        <f>280/18000</f>
        <v>1.5555555555555555E-2</v>
      </c>
      <c r="D3" s="235"/>
      <c r="E3" s="240" t="str">
        <f>A3&amp;" "&amp;B3</f>
        <v>01-01 Aceite Vegetal  de Cunete.      18 Ltrs</v>
      </c>
      <c r="F3" s="241">
        <f>C3</f>
        <v>1.5555555555555555E-2</v>
      </c>
      <c r="G3" s="235"/>
    </row>
    <row r="4" spans="1:7" ht="16.5" x14ac:dyDescent="0.3">
      <c r="A4" s="242" t="s">
        <v>1000</v>
      </c>
      <c r="B4" s="238" t="s">
        <v>1339</v>
      </c>
      <c r="C4" s="243">
        <f>8.33/1000</f>
        <v>8.3300000000000006E-3</v>
      </c>
      <c r="D4" s="235"/>
      <c r="E4" s="240" t="str">
        <f t="shared" ref="E4:E67" si="0">A4&amp;" "&amp;B4</f>
        <v>01-02 Aceite Vegetal.       Caja 1*12*1 Ltr</v>
      </c>
      <c r="F4" s="241">
        <f t="shared" ref="F4:F67" si="1">C4</f>
        <v>8.3300000000000006E-3</v>
      </c>
      <c r="G4" s="235"/>
    </row>
    <row r="5" spans="1:7" ht="16.5" x14ac:dyDescent="0.3">
      <c r="A5" s="244" t="s">
        <v>1001</v>
      </c>
      <c r="B5" s="245" t="s">
        <v>1340</v>
      </c>
      <c r="C5" s="246">
        <f>42.9/700</f>
        <v>6.1285714285714284E-2</v>
      </c>
      <c r="D5" s="235"/>
      <c r="E5" s="240" t="str">
        <f t="shared" si="0"/>
        <v>01-03 Aceite de oliva de lata       Caja 1*20*700ml.</v>
      </c>
      <c r="F5" s="241">
        <f t="shared" si="1"/>
        <v>6.1285714285714284E-2</v>
      </c>
      <c r="G5" s="235"/>
    </row>
    <row r="6" spans="1:7" ht="16.5" x14ac:dyDescent="0.3">
      <c r="A6" s="244" t="s">
        <v>1002</v>
      </c>
      <c r="B6" s="247" t="s">
        <v>1341</v>
      </c>
      <c r="C6" s="246">
        <f>12.79/150</f>
        <v>8.5266666666666657E-2</v>
      </c>
      <c r="D6" s="235"/>
      <c r="E6" s="240" t="str">
        <f t="shared" si="0"/>
        <v>01-04 Aceite de ajonjolí.       Caja 1*12*330ml</v>
      </c>
      <c r="F6" s="241">
        <f t="shared" si="1"/>
        <v>8.5266666666666657E-2</v>
      </c>
      <c r="G6" s="235"/>
    </row>
    <row r="7" spans="1:7" ht="16.5" x14ac:dyDescent="0.3">
      <c r="A7" s="244" t="s">
        <v>1003</v>
      </c>
      <c r="B7" s="245" t="s">
        <v>1342</v>
      </c>
      <c r="C7" s="246">
        <f>17.4/200</f>
        <v>8.6999999999999994E-2</v>
      </c>
      <c r="D7" s="235"/>
      <c r="E7" s="240" t="str">
        <f t="shared" si="0"/>
        <v>01-05 Mantequilla torondoy.      200Gr. Und.</v>
      </c>
      <c r="F7" s="241">
        <f t="shared" si="1"/>
        <v>8.6999999999999994E-2</v>
      </c>
      <c r="G7" s="235"/>
    </row>
    <row r="8" spans="1:7" ht="16.5" x14ac:dyDescent="0.3">
      <c r="A8" s="244" t="s">
        <v>1004</v>
      </c>
      <c r="B8" s="245" t="s">
        <v>1343</v>
      </c>
      <c r="C8" s="243">
        <f>6.94/500</f>
        <v>1.388E-2</v>
      </c>
      <c r="D8" s="235"/>
      <c r="E8" s="240" t="str">
        <f t="shared" si="0"/>
        <v>01-06 Margarina.      1*12*500 gr</v>
      </c>
      <c r="F8" s="241">
        <f t="shared" si="1"/>
        <v>1.388E-2</v>
      </c>
      <c r="G8" s="235"/>
    </row>
    <row r="9" spans="1:7" ht="16.5" x14ac:dyDescent="0.3">
      <c r="A9" s="244" t="s">
        <v>1005</v>
      </c>
      <c r="B9" s="245" t="s">
        <v>1344</v>
      </c>
      <c r="C9" s="243">
        <f>17.81/340</f>
        <v>5.238235294117647E-2</v>
      </c>
      <c r="D9" s="235"/>
      <c r="E9" s="240" t="str">
        <f t="shared" si="0"/>
        <v>01-07 Mantequilla de mani.      1*12*462 gr</v>
      </c>
      <c r="F9" s="241">
        <f t="shared" si="1"/>
        <v>5.238235294117647E-2</v>
      </c>
      <c r="G9" s="235"/>
    </row>
    <row r="10" spans="1:7" ht="16.5" x14ac:dyDescent="0.3">
      <c r="A10" s="244" t="s">
        <v>1006</v>
      </c>
      <c r="B10" s="245" t="s">
        <v>1345</v>
      </c>
      <c r="C10" s="243">
        <f>13.86/1000</f>
        <v>1.3859999999999999E-2</v>
      </c>
      <c r="D10" s="235"/>
      <c r="E10" s="240" t="str">
        <f t="shared" si="0"/>
        <v>01-08 Margarina con sal el chef.      1*5 kgr</v>
      </c>
      <c r="F10" s="241">
        <f t="shared" si="1"/>
        <v>1.3859999999999999E-2</v>
      </c>
      <c r="G10" s="235"/>
    </row>
    <row r="11" spans="1:7" ht="16.5" x14ac:dyDescent="0.3">
      <c r="A11" s="244" t="s">
        <v>1007</v>
      </c>
      <c r="B11" s="248" t="s">
        <v>1346</v>
      </c>
      <c r="C11" s="243">
        <f>13.86/1000</f>
        <v>1.3859999999999999E-2</v>
      </c>
      <c r="D11" s="235"/>
      <c r="E11" s="240" t="str">
        <f t="shared" si="0"/>
        <v>01-09 Margarina sin sal el chef.       1*5 kgr</v>
      </c>
      <c r="F11" s="241">
        <f t="shared" si="1"/>
        <v>1.3859999999999999E-2</v>
      </c>
      <c r="G11" s="235"/>
    </row>
    <row r="12" spans="1:7" ht="16.5" x14ac:dyDescent="0.3">
      <c r="A12" s="244" t="s">
        <v>1008</v>
      </c>
      <c r="B12" s="248" t="s">
        <v>1347</v>
      </c>
      <c r="C12" s="246">
        <f>11.34/1000</f>
        <v>1.1339999999999999E-2</v>
      </c>
      <c r="D12" s="235"/>
      <c r="E12" s="240" t="str">
        <f t="shared" si="0"/>
        <v>01-10 Manteca vegetal.      1*15 Kgr</v>
      </c>
      <c r="F12" s="241">
        <f t="shared" si="1"/>
        <v>1.1339999999999999E-2</v>
      </c>
      <c r="G12" s="235"/>
    </row>
    <row r="13" spans="1:7" ht="16.5" x14ac:dyDescent="0.3">
      <c r="A13" s="244" t="s">
        <v>1009</v>
      </c>
      <c r="B13" s="248" t="s">
        <v>1348</v>
      </c>
      <c r="C13" s="243">
        <f>58.03/3600</f>
        <v>1.6119444444444443E-2</v>
      </c>
      <c r="D13" s="235"/>
      <c r="E13" s="240" t="str">
        <f t="shared" si="0"/>
        <v>01-11 Mayonesa         1*3,6 kgr</v>
      </c>
      <c r="F13" s="241">
        <f t="shared" si="1"/>
        <v>1.6119444444444443E-2</v>
      </c>
      <c r="G13" s="235"/>
    </row>
    <row r="14" spans="1:7" ht="16.5" x14ac:dyDescent="0.3">
      <c r="A14" s="244" t="s">
        <v>1010</v>
      </c>
      <c r="B14" s="248" t="s">
        <v>1349</v>
      </c>
      <c r="C14" s="246">
        <f>43.94/4300</f>
        <v>1.021860465116279E-2</v>
      </c>
      <c r="D14" s="235"/>
      <c r="E14" s="240" t="str">
        <f t="shared" si="0"/>
        <v>01-12 Salsa de tomate.     1*4,3 kgr.</v>
      </c>
      <c r="F14" s="241">
        <f t="shared" si="1"/>
        <v>1.021860465116279E-2</v>
      </c>
      <c r="G14" s="235"/>
    </row>
    <row r="15" spans="1:7" ht="16.5" x14ac:dyDescent="0.3">
      <c r="A15" s="244" t="s">
        <v>1011</v>
      </c>
      <c r="B15" s="248" t="s">
        <v>1350</v>
      </c>
      <c r="C15" s="246"/>
      <c r="D15" s="235"/>
      <c r="E15" s="240" t="str">
        <f t="shared" si="0"/>
        <v>01-13 Salsa de tomate.      1*24*397Gr</v>
      </c>
      <c r="F15" s="241">
        <f t="shared" si="1"/>
        <v>0</v>
      </c>
      <c r="G15" s="235"/>
    </row>
    <row r="16" spans="1:7" ht="16.5" x14ac:dyDescent="0.3">
      <c r="A16" s="244" t="s">
        <v>1012</v>
      </c>
      <c r="B16" s="248" t="s">
        <v>1351</v>
      </c>
      <c r="C16" s="243">
        <f>40.67/4000</f>
        <v>1.0167500000000001E-2</v>
      </c>
      <c r="D16" s="235"/>
      <c r="E16" s="240" t="str">
        <f t="shared" si="0"/>
        <v>01-14 Mostaza tradicional.      1*4 Kgr</v>
      </c>
      <c r="F16" s="241">
        <f t="shared" si="1"/>
        <v>1.0167500000000001E-2</v>
      </c>
      <c r="G16" s="235"/>
    </row>
    <row r="17" spans="1:7" ht="16.5" x14ac:dyDescent="0.3">
      <c r="A17" s="244" t="s">
        <v>1013</v>
      </c>
      <c r="B17" s="248" t="s">
        <v>1352</v>
      </c>
      <c r="C17" s="246"/>
      <c r="D17" s="235"/>
      <c r="E17" s="240" t="str">
        <f t="shared" si="0"/>
        <v>01-15 Mostaza variada frenchs       1*16*397Gr</v>
      </c>
      <c r="F17" s="241">
        <f t="shared" si="1"/>
        <v>0</v>
      </c>
      <c r="G17" s="235"/>
    </row>
    <row r="18" spans="1:7" ht="16.5" x14ac:dyDescent="0.3">
      <c r="A18" s="244" t="s">
        <v>1014</v>
      </c>
      <c r="B18" s="248" t="s">
        <v>1353</v>
      </c>
      <c r="C18" s="246"/>
      <c r="D18" s="235"/>
      <c r="E18" s="240" t="str">
        <f t="shared" si="0"/>
        <v>01-16 Salsa french tártara         1*6*473 Gr.</v>
      </c>
      <c r="F18" s="241">
        <f t="shared" si="1"/>
        <v>0</v>
      </c>
      <c r="G18" s="235"/>
    </row>
    <row r="19" spans="1:7" ht="16.5" x14ac:dyDescent="0.3">
      <c r="A19" s="244" t="s">
        <v>1015</v>
      </c>
      <c r="B19" s="248" t="s">
        <v>1354</v>
      </c>
      <c r="C19" s="246"/>
      <c r="D19" s="235"/>
      <c r="E19" s="240" t="str">
        <f t="shared" si="0"/>
        <v>01-17 Salsa italian        1*6*474 Gr.</v>
      </c>
      <c r="F19" s="241">
        <f t="shared" si="1"/>
        <v>0</v>
      </c>
      <c r="G19" s="235"/>
    </row>
    <row r="20" spans="1:7" ht="16.5" x14ac:dyDescent="0.3">
      <c r="A20" s="244" t="s">
        <v>1016</v>
      </c>
      <c r="B20" s="248" t="s">
        <v>1355</v>
      </c>
      <c r="C20" s="246"/>
      <c r="D20" s="235"/>
      <c r="E20" s="240" t="str">
        <f t="shared" si="0"/>
        <v>01-18 Salsa 57           1*24*378 Gr.</v>
      </c>
      <c r="F20" s="241">
        <f t="shared" si="1"/>
        <v>0</v>
      </c>
      <c r="G20" s="235"/>
    </row>
    <row r="21" spans="1:7" ht="16.5" x14ac:dyDescent="0.3">
      <c r="A21" s="244" t="s">
        <v>1017</v>
      </c>
      <c r="B21" s="248" t="s">
        <v>1356</v>
      </c>
      <c r="C21" s="246">
        <f>50.22/4000</f>
        <v>1.2555E-2</v>
      </c>
      <c r="D21" s="235"/>
      <c r="E21" s="240" t="str">
        <f t="shared" si="0"/>
        <v>01-19 Salsa Inglesa.        1*4ltr</v>
      </c>
      <c r="F21" s="241">
        <f t="shared" si="1"/>
        <v>1.2555E-2</v>
      </c>
      <c r="G21" s="235"/>
    </row>
    <row r="22" spans="1:7" ht="16.5" x14ac:dyDescent="0.3">
      <c r="A22" s="244" t="s">
        <v>1018</v>
      </c>
      <c r="B22" s="248" t="s">
        <v>1357</v>
      </c>
      <c r="C22" s="246">
        <f>52.79/4000</f>
        <v>1.3197499999999999E-2</v>
      </c>
      <c r="D22" s="235"/>
      <c r="E22" s="240" t="str">
        <f t="shared" si="0"/>
        <v>01-20 Salsa de soya.       1*4ltr</v>
      </c>
      <c r="F22" s="241">
        <f t="shared" si="1"/>
        <v>1.3197499999999999E-2</v>
      </c>
      <c r="G22" s="235"/>
    </row>
    <row r="23" spans="1:7" ht="16.5" x14ac:dyDescent="0.3">
      <c r="A23" s="244" t="s">
        <v>1019</v>
      </c>
      <c r="B23" s="248" t="s">
        <v>1358</v>
      </c>
      <c r="C23" s="246">
        <f>16.62/150</f>
        <v>0.11080000000000001</v>
      </c>
      <c r="D23" s="235"/>
      <c r="E23" s="240" t="str">
        <f t="shared" si="0"/>
        <v>01-21 Salsa de soya Lkk.      1*12*150ML</v>
      </c>
      <c r="F23" s="241">
        <f t="shared" si="1"/>
        <v>0.11080000000000001</v>
      </c>
      <c r="G23" s="235"/>
    </row>
    <row r="24" spans="1:7" ht="16.5" x14ac:dyDescent="0.3">
      <c r="A24" s="244" t="s">
        <v>1020</v>
      </c>
      <c r="B24" s="249" t="s">
        <v>1359</v>
      </c>
      <c r="C24" s="246">
        <f>4.3/300</f>
        <v>1.4333333333333333E-2</v>
      </c>
      <c r="D24" s="235"/>
      <c r="E24" s="240" t="str">
        <f t="shared" si="0"/>
        <v>01-22 Salsa picante criolla.      1*12*300 ml</v>
      </c>
      <c r="F24" s="241">
        <f t="shared" si="1"/>
        <v>1.4333333333333333E-2</v>
      </c>
      <c r="G24" s="235"/>
    </row>
    <row r="25" spans="1:7" ht="16.5" x14ac:dyDescent="0.3">
      <c r="A25" s="244" t="s">
        <v>1021</v>
      </c>
      <c r="B25" s="248" t="s">
        <v>1360</v>
      </c>
      <c r="C25" s="246">
        <f>36.87/150</f>
        <v>0.24579999999999999</v>
      </c>
      <c r="D25" s="235"/>
      <c r="E25" s="240" t="str">
        <f t="shared" si="0"/>
        <v>01-23 Salsa Tabasco.      1*12*150 ml</v>
      </c>
      <c r="F25" s="241">
        <f t="shared" si="1"/>
        <v>0.24579999999999999</v>
      </c>
      <c r="G25" s="235"/>
    </row>
    <row r="26" spans="1:7" ht="16.5" x14ac:dyDescent="0.3">
      <c r="A26" s="244" t="s">
        <v>1022</v>
      </c>
      <c r="B26" s="248" t="s">
        <v>1361</v>
      </c>
      <c r="C26" s="246">
        <f>58.37/510</f>
        <v>0.11445098039215686</v>
      </c>
      <c r="D26" s="235"/>
      <c r="E26" s="240" t="str">
        <f t="shared" si="0"/>
        <v>01-24 Salsa de ostras.       1*12*510 ml</v>
      </c>
      <c r="F26" s="241">
        <f t="shared" si="1"/>
        <v>0.11445098039215686</v>
      </c>
      <c r="G26" s="235"/>
    </row>
    <row r="27" spans="1:7" ht="16.5" x14ac:dyDescent="0.3">
      <c r="A27" s="244" t="s">
        <v>1023</v>
      </c>
      <c r="B27" s="248" t="s">
        <v>1362</v>
      </c>
      <c r="C27" s="246">
        <f>10.71/295</f>
        <v>3.6305084745762717E-2</v>
      </c>
      <c r="D27" s="235"/>
      <c r="E27" s="240" t="str">
        <f t="shared" si="0"/>
        <v>01-25 Salsa bbq.         1*24*295 ml</v>
      </c>
      <c r="F27" s="241">
        <f t="shared" si="1"/>
        <v>3.6305084745762717E-2</v>
      </c>
      <c r="G27" s="235"/>
    </row>
    <row r="28" spans="1:7" ht="16.5" x14ac:dyDescent="0.3">
      <c r="A28" s="244" t="s">
        <v>1024</v>
      </c>
      <c r="B28" s="248" t="s">
        <v>1363</v>
      </c>
      <c r="C28" s="246">
        <f>14.29/185</f>
        <v>7.7243243243243234E-2</v>
      </c>
      <c r="D28" s="235"/>
      <c r="E28" s="240" t="str">
        <f t="shared" si="0"/>
        <v>01-26 Salsa agridulce.        1*12*185 ml</v>
      </c>
      <c r="F28" s="241">
        <f t="shared" si="1"/>
        <v>7.7243243243243234E-2</v>
      </c>
      <c r="G28" s="235"/>
    </row>
    <row r="29" spans="1:7" ht="16.5" x14ac:dyDescent="0.3">
      <c r="A29" s="244" t="s">
        <v>1025</v>
      </c>
      <c r="B29" s="248" t="s">
        <v>1364</v>
      </c>
      <c r="C29" s="246">
        <f>28.1/368</f>
        <v>7.6358695652173916E-2</v>
      </c>
      <c r="D29" s="235"/>
      <c r="E29" s="240" t="str">
        <f t="shared" ref="E29" si="2">A29&amp;" "&amp;B29</f>
        <v>01-27 Salsa para costilla LKK.    1*12*368 ml</v>
      </c>
      <c r="F29" s="241">
        <f t="shared" ref="F29" si="3">C29</f>
        <v>7.6358695652173916E-2</v>
      </c>
      <c r="G29" s="235"/>
    </row>
    <row r="30" spans="1:7" ht="16.5" x14ac:dyDescent="0.3">
      <c r="A30" s="244" t="s">
        <v>1026</v>
      </c>
      <c r="B30" s="248" t="s">
        <v>1365</v>
      </c>
      <c r="C30" s="246">
        <f>35/150</f>
        <v>0.23333333333333334</v>
      </c>
      <c r="D30" s="235"/>
      <c r="E30" s="240" t="str">
        <f t="shared" si="0"/>
        <v>01-28 Vinagre de vino tinto.         Und 150ml</v>
      </c>
      <c r="F30" s="241">
        <f t="shared" si="1"/>
        <v>0.23333333333333334</v>
      </c>
      <c r="G30" s="235"/>
    </row>
    <row r="31" spans="1:7" ht="16.5" x14ac:dyDescent="0.3">
      <c r="A31" s="244" t="s">
        <v>1027</v>
      </c>
      <c r="B31" s="248" t="s">
        <v>1366</v>
      </c>
      <c r="C31" s="246">
        <f>40/250</f>
        <v>0.16</v>
      </c>
      <c r="D31" s="235"/>
      <c r="E31" s="240" t="str">
        <f t="shared" si="0"/>
        <v>01-29 Vinagre Balsamico.        Und 250ml</v>
      </c>
      <c r="F31" s="241">
        <f t="shared" si="1"/>
        <v>0.16</v>
      </c>
      <c r="G31" s="235"/>
    </row>
    <row r="32" spans="1:7" ht="16.5" x14ac:dyDescent="0.3">
      <c r="A32" s="244" t="s">
        <v>1028</v>
      </c>
      <c r="B32" s="248" t="s">
        <v>1367</v>
      </c>
      <c r="C32" s="246">
        <f>40/250</f>
        <v>0.16</v>
      </c>
      <c r="D32" s="235"/>
      <c r="E32" s="240" t="str">
        <f t="shared" si="0"/>
        <v>01-30 Vinagre de vino blanco.         Und 250ml</v>
      </c>
      <c r="F32" s="241">
        <f t="shared" si="1"/>
        <v>0.16</v>
      </c>
      <c r="G32" s="235"/>
    </row>
    <row r="33" spans="1:7" ht="16.5" x14ac:dyDescent="0.3">
      <c r="A33" s="244" t="s">
        <v>1029</v>
      </c>
      <c r="B33" s="248" t="s">
        <v>1368</v>
      </c>
      <c r="C33" s="246">
        <f>17.63/4000</f>
        <v>4.4075E-3</v>
      </c>
      <c r="D33" s="235"/>
      <c r="E33" s="240" t="str">
        <f t="shared" si="0"/>
        <v>01-31 Vinagre blanco.         1*4 Ltr.</v>
      </c>
      <c r="F33" s="241">
        <f t="shared" si="1"/>
        <v>4.4075E-3</v>
      </c>
      <c r="G33" s="235"/>
    </row>
    <row r="34" spans="1:7" ht="16.5" x14ac:dyDescent="0.3">
      <c r="A34" s="244" t="s">
        <v>1030</v>
      </c>
      <c r="B34" s="248" t="s">
        <v>1277</v>
      </c>
      <c r="C34" s="243">
        <f>49.11/3000</f>
        <v>1.6369999999999999E-2</v>
      </c>
      <c r="D34" s="235">
        <v>0</v>
      </c>
      <c r="E34" s="240" t="str">
        <f t="shared" si="0"/>
        <v>02-01 Aceitunas negras rebanada.       1*3 kgr</v>
      </c>
      <c r="F34" s="241">
        <f t="shared" si="1"/>
        <v>1.6369999999999999E-2</v>
      </c>
      <c r="G34" s="235"/>
    </row>
    <row r="35" spans="1:7" ht="16.5" x14ac:dyDescent="0.3">
      <c r="A35" s="244" t="s">
        <v>1031</v>
      </c>
      <c r="B35" s="173" t="s">
        <v>1278</v>
      </c>
      <c r="C35" s="243">
        <f>114.29/4300</f>
        <v>2.657906976744186E-2</v>
      </c>
      <c r="D35" s="235"/>
      <c r="E35" s="240" t="str">
        <f t="shared" si="0"/>
        <v>02-02 Aceitunas negras enteras.          1*4,3 kgr.</v>
      </c>
      <c r="F35" s="241">
        <f t="shared" si="1"/>
        <v>2.657906976744186E-2</v>
      </c>
      <c r="G35" s="235"/>
    </row>
    <row r="36" spans="1:7" ht="16.5" x14ac:dyDescent="0.3">
      <c r="A36" s="250" t="s">
        <v>1032</v>
      </c>
      <c r="B36" s="173" t="s">
        <v>1279</v>
      </c>
      <c r="C36" s="243">
        <f>66.96/3000</f>
        <v>2.232E-2</v>
      </c>
      <c r="D36" s="235"/>
      <c r="E36" s="240" t="str">
        <f t="shared" si="0"/>
        <v>02-03 Aceitunas verde enteras.             1*3 kgr</v>
      </c>
      <c r="F36" s="241">
        <f t="shared" si="1"/>
        <v>2.232E-2</v>
      </c>
      <c r="G36" s="235"/>
    </row>
    <row r="37" spans="1:7" ht="16.5" x14ac:dyDescent="0.3">
      <c r="A37" s="250" t="s">
        <v>1033</v>
      </c>
      <c r="B37" s="173" t="s">
        <v>1280</v>
      </c>
      <c r="C37" s="243">
        <f>114.29/4300</f>
        <v>2.657906976744186E-2</v>
      </c>
      <c r="D37" s="235"/>
      <c r="E37" s="240" t="str">
        <f t="shared" si="0"/>
        <v>02-04 Aceitunas Verdes rellenas.         1*15 Kgr</v>
      </c>
      <c r="F37" s="241">
        <f t="shared" si="1"/>
        <v>2.657906976744186E-2</v>
      </c>
      <c r="G37" s="235"/>
    </row>
    <row r="38" spans="1:7" ht="16.5" x14ac:dyDescent="0.3">
      <c r="A38" s="250" t="s">
        <v>1034</v>
      </c>
      <c r="B38" s="248" t="s">
        <v>1369</v>
      </c>
      <c r="C38" s="243">
        <f>15/300</f>
        <v>0.05</v>
      </c>
      <c r="D38" s="235"/>
      <c r="E38" s="240" t="str">
        <f t="shared" si="0"/>
        <v>02-05 Alcaparras.           Bolsa/kgr</v>
      </c>
      <c r="F38" s="241">
        <f t="shared" si="1"/>
        <v>0.05</v>
      </c>
      <c r="G38" s="235"/>
    </row>
    <row r="39" spans="1:7" ht="16.5" x14ac:dyDescent="0.3">
      <c r="A39" s="250" t="s">
        <v>1035</v>
      </c>
      <c r="B39" s="248" t="s">
        <v>1370</v>
      </c>
      <c r="C39" s="243">
        <f>81.7/3000</f>
        <v>2.7233333333333335E-2</v>
      </c>
      <c r="D39" s="235"/>
      <c r="E39" s="240" t="str">
        <f t="shared" si="0"/>
        <v>02-06 Champiñones enteros.              1*3 kgr</v>
      </c>
      <c r="F39" s="241">
        <f t="shared" si="1"/>
        <v>2.7233333333333335E-2</v>
      </c>
      <c r="G39" s="235"/>
    </row>
    <row r="40" spans="1:7" ht="16.5" x14ac:dyDescent="0.3">
      <c r="A40" s="250" t="s">
        <v>1036</v>
      </c>
      <c r="B40" s="248" t="s">
        <v>1281</v>
      </c>
      <c r="C40" s="243">
        <f>64.64/2500</f>
        <v>2.5856000000000001E-2</v>
      </c>
      <c r="D40" s="235"/>
      <c r="E40" s="240" t="str">
        <f t="shared" si="0"/>
        <v>02-07 Champiñones fileteados.            1*3 kgr</v>
      </c>
      <c r="F40" s="241">
        <f t="shared" si="1"/>
        <v>2.5856000000000001E-2</v>
      </c>
      <c r="G40" s="235"/>
    </row>
    <row r="41" spans="1:7" ht="16.5" x14ac:dyDescent="0.3">
      <c r="A41" s="250" t="s">
        <v>1037</v>
      </c>
      <c r="B41" s="248" t="s">
        <v>1371</v>
      </c>
      <c r="C41" s="243">
        <f>126.43/3000</f>
        <v>4.2143333333333338E-2</v>
      </c>
      <c r="D41" s="235"/>
      <c r="E41" s="240" t="str">
        <f t="shared" si="0"/>
        <v>02-08 Palmito.         1*3 kgr</v>
      </c>
      <c r="F41" s="241">
        <f t="shared" si="1"/>
        <v>4.2143333333333338E-2</v>
      </c>
      <c r="G41" s="235"/>
    </row>
    <row r="42" spans="1:7" ht="16.5" x14ac:dyDescent="0.3">
      <c r="A42" s="250" t="s">
        <v>1038</v>
      </c>
      <c r="B42" s="248" t="s">
        <v>1372</v>
      </c>
      <c r="C42" s="246">
        <f>32/2.5</f>
        <v>12.8</v>
      </c>
      <c r="D42" s="235"/>
      <c r="E42" s="240" t="str">
        <f t="shared" si="0"/>
        <v>02-09 Jalapeños Rebanados.             1*2,5 Kgr</v>
      </c>
      <c r="F42" s="241">
        <f t="shared" si="1"/>
        <v>12.8</v>
      </c>
      <c r="G42" s="235"/>
    </row>
    <row r="43" spans="1:7" ht="16.5" x14ac:dyDescent="0.3">
      <c r="A43" s="250" t="s">
        <v>1039</v>
      </c>
      <c r="B43" s="248" t="s">
        <v>1373</v>
      </c>
      <c r="C43" s="246">
        <f>8.815</f>
        <v>8.8149999999999995</v>
      </c>
      <c r="D43" s="235"/>
      <c r="E43" s="240" t="str">
        <f t="shared" si="0"/>
        <v>02-10 Chipotles.       1*12*215GR</v>
      </c>
      <c r="F43" s="241">
        <f t="shared" si="1"/>
        <v>8.8149999999999995</v>
      </c>
      <c r="G43" s="235"/>
    </row>
    <row r="44" spans="1:7" ht="16.5" x14ac:dyDescent="0.3">
      <c r="A44" s="250" t="s">
        <v>1040</v>
      </c>
      <c r="B44" s="248" t="s">
        <v>1282</v>
      </c>
      <c r="C44" s="246">
        <v>9.5</v>
      </c>
      <c r="D44" s="235"/>
      <c r="E44" s="240" t="str">
        <f t="shared" si="0"/>
        <v>02-11 Pepinillos agridulce enteros.      1*12*340 Gr.</v>
      </c>
      <c r="F44" s="241">
        <f t="shared" si="1"/>
        <v>9.5</v>
      </c>
      <c r="G44" s="235"/>
    </row>
    <row r="45" spans="1:7" ht="16.5" x14ac:dyDescent="0.3">
      <c r="A45" s="250" t="s">
        <v>1041</v>
      </c>
      <c r="B45" s="248" t="s">
        <v>1374</v>
      </c>
      <c r="C45" s="243">
        <f>21.72/350</f>
        <v>6.2057142857142852E-2</v>
      </c>
      <c r="D45" s="235"/>
      <c r="E45" s="240" t="str">
        <f t="shared" si="0"/>
        <v>02-12 Esparragos blancos.        1*12*330 Gr.</v>
      </c>
      <c r="F45" s="241">
        <f t="shared" si="1"/>
        <v>6.2057142857142852E-2</v>
      </c>
      <c r="G45" s="235"/>
    </row>
    <row r="46" spans="1:7" ht="16.5" x14ac:dyDescent="0.3">
      <c r="A46" s="250" t="s">
        <v>1042</v>
      </c>
      <c r="B46" s="248" t="s">
        <v>1375</v>
      </c>
      <c r="C46" s="243">
        <f>19.3/425</f>
        <v>4.5411764705882353E-2</v>
      </c>
      <c r="D46" s="235"/>
      <c r="E46" s="240" t="str">
        <f t="shared" si="0"/>
        <v>02-13 Esparragos verdes..            1*12*330 Gr.</v>
      </c>
      <c r="F46" s="241">
        <f t="shared" si="1"/>
        <v>4.5411764705882353E-2</v>
      </c>
      <c r="G46" s="235"/>
    </row>
    <row r="47" spans="1:7" ht="16.5" x14ac:dyDescent="0.3">
      <c r="A47" s="250" t="s">
        <v>1043</v>
      </c>
      <c r="B47" s="248" t="s">
        <v>1376</v>
      </c>
      <c r="C47" s="243">
        <f>72.25/3000</f>
        <v>2.4083333333333335E-2</v>
      </c>
      <c r="D47" s="235"/>
      <c r="E47" s="240" t="str">
        <f t="shared" si="0"/>
        <v>02-14 Maiz entero.        1*3 kgr</v>
      </c>
      <c r="F47" s="241">
        <f t="shared" si="1"/>
        <v>2.4083333333333335E-2</v>
      </c>
      <c r="G47" s="235"/>
    </row>
    <row r="48" spans="1:7" ht="16.5" x14ac:dyDescent="0.3">
      <c r="A48" s="250" t="s">
        <v>1044</v>
      </c>
      <c r="B48" s="248" t="s">
        <v>1377</v>
      </c>
      <c r="C48" s="243">
        <f>18.41/240</f>
        <v>7.6708333333333337E-2</v>
      </c>
      <c r="D48" s="235"/>
      <c r="E48" s="240" t="str">
        <f t="shared" si="0"/>
        <v>02-15 Mazorquitas de máiz        1*24*240</v>
      </c>
      <c r="F48" s="241">
        <f t="shared" si="1"/>
        <v>7.6708333333333337E-2</v>
      </c>
      <c r="G48" s="235"/>
    </row>
    <row r="49" spans="1:7" ht="16.5" x14ac:dyDescent="0.3">
      <c r="A49" s="250" t="s">
        <v>1045</v>
      </c>
      <c r="B49" s="248" t="s">
        <v>1378</v>
      </c>
      <c r="C49" s="243">
        <f>50.78/4050</f>
        <v>1.2538271604938271E-2</v>
      </c>
      <c r="D49" s="235"/>
      <c r="E49" s="240" t="str">
        <f t="shared" si="0"/>
        <v>02-16 Pasta de tomate.            1*4 Kgr</v>
      </c>
      <c r="F49" s="241">
        <f t="shared" si="1"/>
        <v>1.2538271604938271E-2</v>
      </c>
      <c r="G49" s="235"/>
    </row>
    <row r="50" spans="1:7" ht="16.5" x14ac:dyDescent="0.3">
      <c r="A50" s="250" t="s">
        <v>1046</v>
      </c>
      <c r="B50" s="251" t="s">
        <v>1379</v>
      </c>
      <c r="C50" s="243">
        <f>32/3000</f>
        <v>1.0666666666666666E-2</v>
      </c>
      <c r="D50" s="235"/>
      <c r="E50" s="240" t="str">
        <f t="shared" si="0"/>
        <v>02-17 Tomates pelados galon.            1*3 kgr</v>
      </c>
      <c r="F50" s="241">
        <f t="shared" si="1"/>
        <v>1.0666666666666666E-2</v>
      </c>
      <c r="G50" s="235"/>
    </row>
    <row r="51" spans="1:7" ht="16.5" x14ac:dyDescent="0.3">
      <c r="A51" s="250" t="s">
        <v>1047</v>
      </c>
      <c r="B51" s="248" t="s">
        <v>1380</v>
      </c>
      <c r="C51" s="246"/>
      <c r="D51" s="235"/>
      <c r="E51" s="240" t="str">
        <f t="shared" si="0"/>
        <v>02-18 Garbanzos Latas                 1*24*500 Gr.</v>
      </c>
      <c r="F51" s="241">
        <f t="shared" si="1"/>
        <v>0</v>
      </c>
      <c r="G51" s="235"/>
    </row>
    <row r="52" spans="1:7" ht="16.5" x14ac:dyDescent="0.3">
      <c r="A52" s="250" t="s">
        <v>1048</v>
      </c>
      <c r="B52" s="248" t="s">
        <v>1381</v>
      </c>
      <c r="C52" s="246"/>
      <c r="D52" s="235"/>
      <c r="E52" s="240" t="str">
        <f t="shared" si="0"/>
        <v>02-19 Anchoas frasco.              1*2 kgr</v>
      </c>
      <c r="F52" s="241">
        <f t="shared" si="1"/>
        <v>0</v>
      </c>
      <c r="G52" s="235"/>
    </row>
    <row r="53" spans="1:7" ht="16.5" x14ac:dyDescent="0.3">
      <c r="A53" s="250" t="s">
        <v>1049</v>
      </c>
      <c r="B53" s="248" t="s">
        <v>1382</v>
      </c>
      <c r="C53" s="246">
        <f>17.69</f>
        <v>17.690000000000001</v>
      </c>
      <c r="D53" s="235"/>
      <c r="E53" s="240" t="str">
        <f t="shared" si="0"/>
        <v>02-20 Atun en aceite vegetal.            1*12*354 kgr.</v>
      </c>
      <c r="F53" s="241">
        <f t="shared" si="1"/>
        <v>17.690000000000001</v>
      </c>
      <c r="G53" s="235"/>
    </row>
    <row r="54" spans="1:7" ht="16.5" x14ac:dyDescent="0.3">
      <c r="A54" s="250" t="s">
        <v>1050</v>
      </c>
      <c r="B54" s="248" t="s">
        <v>1397</v>
      </c>
      <c r="C54" s="246">
        <v>0.40208333333333335</v>
      </c>
      <c r="D54" s="235"/>
      <c r="E54" s="240" t="str">
        <f t="shared" si="0"/>
        <v>02-21 Sardinas en lata variada.         1*48*170 kgr.</v>
      </c>
      <c r="F54" s="241">
        <f t="shared" si="1"/>
        <v>0.40208333333333335</v>
      </c>
      <c r="G54" s="235"/>
    </row>
    <row r="55" spans="1:7" ht="16.5" x14ac:dyDescent="0.3">
      <c r="A55" s="250" t="s">
        <v>1051</v>
      </c>
      <c r="B55" s="248" t="s">
        <v>1398</v>
      </c>
      <c r="C55" s="246">
        <v>1.57</v>
      </c>
      <c r="D55" s="235"/>
      <c r="E55" s="240" t="str">
        <f t="shared" si="0"/>
        <v>02-22 Sardinas en lata variada.        1*12*280 kgr.</v>
      </c>
      <c r="F55" s="241">
        <f t="shared" si="1"/>
        <v>1.57</v>
      </c>
      <c r="G55" s="235"/>
    </row>
    <row r="56" spans="1:7" ht="16.5" x14ac:dyDescent="0.3">
      <c r="A56" s="250" t="s">
        <v>1052</v>
      </c>
      <c r="B56" s="248" t="s">
        <v>1383</v>
      </c>
      <c r="C56" s="246">
        <v>5.8</v>
      </c>
      <c r="D56" s="235"/>
      <c r="E56" s="240" t="str">
        <f t="shared" si="0"/>
        <v>02-23 Pepitonas picantes.             1*35*140 kgr.</v>
      </c>
      <c r="F56" s="241">
        <f t="shared" si="1"/>
        <v>5.8</v>
      </c>
      <c r="G56" s="235"/>
    </row>
    <row r="57" spans="1:7" ht="16.5" x14ac:dyDescent="0.3">
      <c r="A57" s="250" t="s">
        <v>1053</v>
      </c>
      <c r="B57" s="248" t="s">
        <v>1399</v>
      </c>
      <c r="C57" s="246">
        <v>5.6</v>
      </c>
      <c r="D57" s="235"/>
      <c r="E57" s="240" t="str">
        <f t="shared" si="0"/>
        <v>02-24 Sopa intantanea variada           1*12*64 Gr</v>
      </c>
      <c r="F57" s="241">
        <f t="shared" si="1"/>
        <v>5.6</v>
      </c>
      <c r="G57" s="235"/>
    </row>
    <row r="58" spans="1:7" ht="16.5" x14ac:dyDescent="0.3">
      <c r="A58" s="250" t="s">
        <v>1253</v>
      </c>
      <c r="B58" s="248" t="s">
        <v>1384</v>
      </c>
      <c r="C58" s="246">
        <v>14.13</v>
      </c>
      <c r="D58" s="235"/>
      <c r="E58" s="240" t="str">
        <f t="shared" si="0"/>
        <v>02-25 Diablito.            1*24*115 Kgr.</v>
      </c>
      <c r="F58" s="241">
        <f t="shared" si="1"/>
        <v>14.13</v>
      </c>
      <c r="G58" s="235"/>
    </row>
    <row r="59" spans="1:7" ht="16.5" x14ac:dyDescent="0.3">
      <c r="A59" s="250" t="s">
        <v>1254</v>
      </c>
      <c r="B59" s="248" t="s">
        <v>1385</v>
      </c>
      <c r="C59" s="246">
        <f>48.9/3100</f>
        <v>1.5774193548387095E-2</v>
      </c>
      <c r="D59" s="235"/>
      <c r="E59" s="240" t="str">
        <f t="shared" si="0"/>
        <v xml:space="preserve">02-26 Piña en rueda.             1*3,1 kgr </v>
      </c>
      <c r="F59" s="241">
        <f t="shared" si="1"/>
        <v>1.5774193548387095E-2</v>
      </c>
      <c r="G59" s="235"/>
    </row>
    <row r="60" spans="1:7" ht="16.5" x14ac:dyDescent="0.3">
      <c r="A60" s="250" t="s">
        <v>1255</v>
      </c>
      <c r="B60" s="248" t="s">
        <v>1283</v>
      </c>
      <c r="C60" s="246">
        <f>36.66/3000</f>
        <v>1.2219999999999998E-2</v>
      </c>
      <c r="D60" s="235"/>
      <c r="E60" s="240" t="str">
        <f t="shared" si="0"/>
        <v>02-27 Melocoton en almibar.                 1*3 kgr</v>
      </c>
      <c r="F60" s="241">
        <f t="shared" si="1"/>
        <v>1.2219999999999998E-2</v>
      </c>
      <c r="G60" s="235"/>
    </row>
    <row r="61" spans="1:7" ht="16.5" x14ac:dyDescent="0.3">
      <c r="A61" s="250" t="s">
        <v>1256</v>
      </c>
      <c r="B61" s="248" t="s">
        <v>1388</v>
      </c>
      <c r="C61" s="246">
        <f>71.43/3000</f>
        <v>2.3810000000000001E-2</v>
      </c>
      <c r="D61" s="235"/>
      <c r="E61" s="240" t="str">
        <f t="shared" si="0"/>
        <v>02-28 kiwis almibal AL NATURAL             1*3 kgr</v>
      </c>
      <c r="F61" s="241">
        <f t="shared" si="1"/>
        <v>2.3810000000000001E-2</v>
      </c>
      <c r="G61" s="235"/>
    </row>
    <row r="62" spans="1:7" ht="16.5" x14ac:dyDescent="0.3">
      <c r="A62" s="250" t="s">
        <v>1257</v>
      </c>
      <c r="B62" s="248" t="s">
        <v>1387</v>
      </c>
      <c r="C62" s="246">
        <f>134.58/3000</f>
        <v>4.4860000000000004E-2</v>
      </c>
      <c r="D62" s="235"/>
      <c r="E62" s="240" t="str">
        <f t="shared" si="0"/>
        <v>02-29 Cerezas Marroquinas Verde.           1*3 kgr</v>
      </c>
      <c r="F62" s="241">
        <f t="shared" si="1"/>
        <v>4.4860000000000004E-2</v>
      </c>
      <c r="G62" s="235"/>
    </row>
    <row r="63" spans="1:7" ht="16.5" x14ac:dyDescent="0.3">
      <c r="A63" s="250" t="s">
        <v>1258</v>
      </c>
      <c r="B63" s="248" t="s">
        <v>1386</v>
      </c>
      <c r="C63" s="246">
        <f>134.58/3000</f>
        <v>4.4860000000000004E-2</v>
      </c>
      <c r="D63" s="235"/>
      <c r="E63" s="240" t="str">
        <f t="shared" si="0"/>
        <v>02-30 Cerezas Marroquinas Rojas.           1*3 kgr</v>
      </c>
      <c r="F63" s="241">
        <f t="shared" si="1"/>
        <v>4.4860000000000004E-2</v>
      </c>
      <c r="G63" s="235"/>
    </row>
    <row r="64" spans="1:7" ht="16.5" x14ac:dyDescent="0.3">
      <c r="A64" s="250" t="s">
        <v>1259</v>
      </c>
      <c r="B64" s="251" t="s">
        <v>1389</v>
      </c>
      <c r="C64" s="246">
        <f>52.23/3000</f>
        <v>1.7409999999999998E-2</v>
      </c>
      <c r="D64" s="235"/>
      <c r="E64" s="240" t="str">
        <f t="shared" si="0"/>
        <v>02-31 Coctel de frutas.               1*3 kgr</v>
      </c>
      <c r="F64" s="241">
        <f t="shared" si="1"/>
        <v>1.7409999999999998E-2</v>
      </c>
      <c r="G64" s="235"/>
    </row>
    <row r="65" spans="1:7" ht="16.5" x14ac:dyDescent="0.3">
      <c r="A65" s="250" t="s">
        <v>1260</v>
      </c>
      <c r="B65" s="251" t="s">
        <v>1390</v>
      </c>
      <c r="C65" s="246"/>
      <c r="D65" s="235"/>
      <c r="E65" s="240" t="str">
        <f t="shared" si="0"/>
        <v>02-32 Coctel de frutas.            1*12*820gr</v>
      </c>
      <c r="F65" s="241">
        <f t="shared" si="1"/>
        <v>0</v>
      </c>
      <c r="G65" s="235"/>
    </row>
    <row r="66" spans="1:7" ht="16.5" x14ac:dyDescent="0.3">
      <c r="A66" s="250" t="s">
        <v>1054</v>
      </c>
      <c r="B66" s="251" t="s">
        <v>1391</v>
      </c>
      <c r="C66" s="246">
        <v>9.2899999999999991</v>
      </c>
      <c r="D66" s="235"/>
      <c r="E66" s="240" t="str">
        <f t="shared" si="0"/>
        <v>03-01 Cheeze-wiz frasco.              1*12*300 Gr.</v>
      </c>
      <c r="F66" s="241">
        <f t="shared" si="1"/>
        <v>9.2899999999999991</v>
      </c>
      <c r="G66" s="235"/>
    </row>
    <row r="67" spans="1:7" ht="16.5" x14ac:dyDescent="0.3">
      <c r="A67" s="250" t="s">
        <v>1055</v>
      </c>
      <c r="B67" s="252" t="s">
        <v>1392</v>
      </c>
      <c r="C67" s="246">
        <v>3.42</v>
      </c>
      <c r="D67" s="235"/>
      <c r="E67" s="240" t="str">
        <f t="shared" si="0"/>
        <v>03-02 Yogurt natural.          1*6*185 Gr.</v>
      </c>
      <c r="F67" s="241">
        <f t="shared" si="1"/>
        <v>3.42</v>
      </c>
      <c r="G67" s="235"/>
    </row>
    <row r="68" spans="1:7" ht="16.5" x14ac:dyDescent="0.3">
      <c r="A68" s="250" t="s">
        <v>1056</v>
      </c>
      <c r="B68" s="172" t="s">
        <v>1393</v>
      </c>
      <c r="C68" s="246">
        <v>31.82</v>
      </c>
      <c r="D68" s="235">
        <v>0</v>
      </c>
      <c r="E68" s="240" t="str">
        <f t="shared" ref="E68:E131" si="4">A68&amp;" "&amp;B68</f>
        <v>03-03 Crema para café.                1*12*311 Gr</v>
      </c>
      <c r="F68" s="241">
        <f t="shared" ref="F68:F131" si="5">C68</f>
        <v>31.82</v>
      </c>
      <c r="G68" s="235"/>
    </row>
    <row r="69" spans="1:7" ht="16.5" x14ac:dyDescent="0.3">
      <c r="A69" s="250" t="s">
        <v>1057</v>
      </c>
      <c r="B69" s="173" t="s">
        <v>1284</v>
      </c>
      <c r="C69" s="246">
        <v>35.305</v>
      </c>
      <c r="D69" s="235"/>
      <c r="E69" s="240" t="str">
        <f t="shared" si="4"/>
        <v>03-04 Crema de leche pastelera.           1*12*1Ltr</v>
      </c>
      <c r="F69" s="241">
        <f t="shared" si="5"/>
        <v>35.305</v>
      </c>
      <c r="G69" s="235"/>
    </row>
    <row r="70" spans="1:7" ht="16.5" x14ac:dyDescent="0.3">
      <c r="A70" s="250" t="s">
        <v>1058</v>
      </c>
      <c r="B70" s="248" t="s">
        <v>1285</v>
      </c>
      <c r="C70" s="246">
        <v>35.4</v>
      </c>
      <c r="D70" s="235"/>
      <c r="E70" s="240" t="str">
        <f t="shared" si="4"/>
        <v>03-05 Crema de leche cocina.                1*12*1Ltr</v>
      </c>
      <c r="F70" s="241">
        <f t="shared" si="5"/>
        <v>35.4</v>
      </c>
      <c r="G70" s="235"/>
    </row>
    <row r="71" spans="1:7" ht="16.5" x14ac:dyDescent="0.3">
      <c r="A71" s="250" t="s">
        <v>1059</v>
      </c>
      <c r="B71" s="248" t="s">
        <v>1394</v>
      </c>
      <c r="C71" s="246">
        <v>19</v>
      </c>
      <c r="D71" s="235"/>
      <c r="E71" s="240" t="str">
        <f t="shared" si="4"/>
        <v>03-06 Crema de leche.              1*48*300gr</v>
      </c>
      <c r="F71" s="241">
        <f t="shared" si="5"/>
        <v>19</v>
      </c>
      <c r="G71" s="235"/>
    </row>
    <row r="72" spans="1:7" ht="16.5" x14ac:dyDescent="0.3">
      <c r="A72" s="250" t="s">
        <v>1060</v>
      </c>
      <c r="B72" s="248" t="s">
        <v>1395</v>
      </c>
      <c r="C72" s="246">
        <v>13.84</v>
      </c>
      <c r="D72" s="235"/>
      <c r="E72" s="240" t="str">
        <f t="shared" si="4"/>
        <v xml:space="preserve">03-07 Leche condensada.            1*24*395 </v>
      </c>
      <c r="F72" s="241">
        <f t="shared" si="5"/>
        <v>13.84</v>
      </c>
      <c r="G72" s="235"/>
    </row>
    <row r="73" spans="1:7" ht="16.5" x14ac:dyDescent="0.3">
      <c r="A73" s="250" t="s">
        <v>1061</v>
      </c>
      <c r="B73" s="248" t="s">
        <v>1396</v>
      </c>
      <c r="C73" s="246">
        <v>14.73</v>
      </c>
      <c r="D73" s="235"/>
      <c r="E73" s="240" t="str">
        <f t="shared" si="4"/>
        <v>03-08 Leche evaporada.              1*48*410gr</v>
      </c>
      <c r="F73" s="241">
        <f t="shared" si="5"/>
        <v>14.73</v>
      </c>
      <c r="G73" s="235"/>
    </row>
    <row r="74" spans="1:7" ht="16.5" x14ac:dyDescent="0.3">
      <c r="A74" s="250" t="s">
        <v>1062</v>
      </c>
      <c r="B74" s="248" t="s">
        <v>1286</v>
      </c>
      <c r="C74" s="246">
        <v>7.2</v>
      </c>
      <c r="D74" s="235"/>
      <c r="E74" s="240" t="str">
        <f t="shared" si="4"/>
        <v>03-09 Leche descremada l duracion.    1*12*1ltr</v>
      </c>
      <c r="F74" s="241">
        <f t="shared" si="5"/>
        <v>7.2</v>
      </c>
      <c r="G74" s="235"/>
    </row>
    <row r="75" spans="1:7" ht="16.5" x14ac:dyDescent="0.3">
      <c r="A75" s="250" t="s">
        <v>1063</v>
      </c>
      <c r="B75" s="248" t="s">
        <v>1287</v>
      </c>
      <c r="C75" s="246">
        <v>7.2</v>
      </c>
      <c r="D75" s="235"/>
      <c r="E75" s="240" t="str">
        <f t="shared" si="4"/>
        <v>03-10 Leche completa larga duracion.  1*12*1ltr</v>
      </c>
      <c r="F75" s="241">
        <f t="shared" si="5"/>
        <v>7.2</v>
      </c>
      <c r="G75" s="235"/>
    </row>
    <row r="76" spans="1:7" ht="16.5" x14ac:dyDescent="0.3">
      <c r="A76" s="250" t="s">
        <v>1064</v>
      </c>
      <c r="B76" s="248" t="s">
        <v>1400</v>
      </c>
      <c r="C76" s="246">
        <f>28/1000</f>
        <v>2.8000000000000001E-2</v>
      </c>
      <c r="D76" s="235"/>
      <c r="E76" s="240" t="str">
        <f t="shared" si="4"/>
        <v>03-11 Leche en polvo.     Bulto 1*12*1</v>
      </c>
      <c r="F76" s="241">
        <f t="shared" si="5"/>
        <v>2.8000000000000001E-2</v>
      </c>
      <c r="G76" s="235"/>
    </row>
    <row r="77" spans="1:7" s="235" customFormat="1" ht="16.5" x14ac:dyDescent="0.3">
      <c r="A77" s="250" t="s">
        <v>1065</v>
      </c>
      <c r="B77" s="248" t="s">
        <v>1401</v>
      </c>
      <c r="C77" s="246">
        <f>45.27/3000</f>
        <v>1.5090000000000001E-2</v>
      </c>
      <c r="E77" s="240" t="str">
        <f t="shared" si="4"/>
        <v>03-12 Queso amarillo.        Barra 1*3 kgr.</v>
      </c>
      <c r="F77" s="241">
        <f t="shared" si="5"/>
        <v>1.5090000000000001E-2</v>
      </c>
    </row>
    <row r="78" spans="1:7" ht="16.5" x14ac:dyDescent="0.3">
      <c r="A78" s="250" t="s">
        <v>1066</v>
      </c>
      <c r="B78" s="248" t="s">
        <v>1288</v>
      </c>
      <c r="C78" s="246">
        <f>33/1000</f>
        <v>3.3000000000000002E-2</v>
      </c>
      <c r="D78" s="235"/>
      <c r="E78" s="240" t="str">
        <f t="shared" si="4"/>
        <v>03-13 Queso blanco pasteurizado.       Barra 1*3 kgr.</v>
      </c>
      <c r="F78" s="241">
        <f t="shared" si="5"/>
        <v>3.3000000000000002E-2</v>
      </c>
      <c r="G78" s="235"/>
    </row>
    <row r="79" spans="1:7" ht="16.5" x14ac:dyDescent="0.3">
      <c r="A79" s="250" t="s">
        <v>1067</v>
      </c>
      <c r="B79" s="248" t="s">
        <v>1402</v>
      </c>
      <c r="C79" s="246">
        <f>33/1000</f>
        <v>3.3000000000000002E-2</v>
      </c>
      <c r="D79" s="235"/>
      <c r="E79" s="240" t="str">
        <f t="shared" si="4"/>
        <v>03-14 Quezo mozzarela Paisa.      Barra 1*3 kgr.</v>
      </c>
      <c r="F79" s="241">
        <f t="shared" si="5"/>
        <v>3.3000000000000002E-2</v>
      </c>
      <c r="G79" s="235"/>
    </row>
    <row r="80" spans="1:7" ht="16.5" x14ac:dyDescent="0.3">
      <c r="A80" s="250" t="s">
        <v>1068</v>
      </c>
      <c r="B80" s="248" t="s">
        <v>1403</v>
      </c>
      <c r="C80" s="246">
        <f>63.83/1000</f>
        <v>6.3829999999999998E-2</v>
      </c>
      <c r="D80" s="235"/>
      <c r="E80" s="240" t="str">
        <f t="shared" si="4"/>
        <v xml:space="preserve">03-15 Queso parmesano.      Barra 1*6 kgr.        </v>
      </c>
      <c r="F80" s="241">
        <f t="shared" si="5"/>
        <v>6.3829999999999998E-2</v>
      </c>
      <c r="G80" s="235"/>
    </row>
    <row r="81" spans="1:7" ht="16.5" x14ac:dyDescent="0.3">
      <c r="A81" s="250" t="s">
        <v>1069</v>
      </c>
      <c r="B81" s="248" t="s">
        <v>1404</v>
      </c>
      <c r="C81" s="246">
        <f>77.04/1000</f>
        <v>7.7040000000000011E-2</v>
      </c>
      <c r="D81" s="235"/>
      <c r="E81" s="240" t="str">
        <f t="shared" si="4"/>
        <v>03-16 Queso azul.         Barra 1*2 kgr.</v>
      </c>
      <c r="F81" s="241">
        <f t="shared" si="5"/>
        <v>7.7040000000000011E-2</v>
      </c>
      <c r="G81" s="235"/>
    </row>
    <row r="82" spans="1:7" ht="16.5" x14ac:dyDescent="0.3">
      <c r="A82" s="250" t="s">
        <v>1070</v>
      </c>
      <c r="B82" s="248" t="s">
        <v>1405</v>
      </c>
      <c r="C82" s="246">
        <v>11.74</v>
      </c>
      <c r="D82" s="235"/>
      <c r="E82" s="240" t="str">
        <f t="shared" si="4"/>
        <v>03-17 Queso Crema        1*18*200 gr</v>
      </c>
      <c r="F82" s="241">
        <f t="shared" si="5"/>
        <v>11.74</v>
      </c>
      <c r="G82" s="235"/>
    </row>
    <row r="83" spans="1:7" ht="16.5" x14ac:dyDescent="0.3">
      <c r="A83" s="250" t="s">
        <v>1071</v>
      </c>
      <c r="B83" s="248" t="s">
        <v>1406</v>
      </c>
      <c r="C83" s="246">
        <f>41.9/500</f>
        <v>8.3799999999999999E-2</v>
      </c>
      <c r="D83" s="235"/>
      <c r="E83" s="240" t="str">
        <f t="shared" si="4"/>
        <v>03-18 Queso para fundir Suizo     1*500 gr</v>
      </c>
      <c r="F83" s="241">
        <f t="shared" si="5"/>
        <v>8.3799999999999999E-2</v>
      </c>
      <c r="G83" s="235"/>
    </row>
    <row r="84" spans="1:7" ht="16.5" x14ac:dyDescent="0.3">
      <c r="A84" s="250" t="s">
        <v>1072</v>
      </c>
      <c r="B84" s="248" t="s">
        <v>1289</v>
      </c>
      <c r="C84" s="246">
        <f>41.9/500</f>
        <v>8.3799999999999999E-2</v>
      </c>
      <c r="D84" s="235"/>
      <c r="E84" s="240" t="str">
        <f t="shared" si="4"/>
        <v>03-19 Queso para fundir Americano    1*500 gr</v>
      </c>
      <c r="F84" s="241">
        <f t="shared" si="5"/>
        <v>8.3799999999999999E-2</v>
      </c>
      <c r="G84" s="235"/>
    </row>
    <row r="85" spans="1:7" ht="16.5" x14ac:dyDescent="0.3">
      <c r="A85" s="250" t="s">
        <v>1073</v>
      </c>
      <c r="B85" s="248" t="s">
        <v>1407</v>
      </c>
      <c r="C85" s="246">
        <f>25.68/1000</f>
        <v>2.5680000000000001E-2</v>
      </c>
      <c r="D85" s="235"/>
      <c r="E85" s="240" t="str">
        <f t="shared" si="4"/>
        <v>03-20 Queso blanco semiduro        Barra 1*3 kgr.</v>
      </c>
      <c r="F85" s="241">
        <f t="shared" si="5"/>
        <v>2.5680000000000001E-2</v>
      </c>
      <c r="G85" s="235"/>
    </row>
    <row r="86" spans="1:7" ht="16.5" x14ac:dyDescent="0.3">
      <c r="A86" s="250" t="s">
        <v>1074</v>
      </c>
      <c r="B86" s="248" t="s">
        <v>1408</v>
      </c>
      <c r="C86" s="246">
        <f>17.5/1000</f>
        <v>1.7500000000000002E-2</v>
      </c>
      <c r="D86" s="235"/>
      <c r="E86" s="240" t="str">
        <f t="shared" si="4"/>
        <v>03-21 Queso guayanes.       piezas/kg</v>
      </c>
      <c r="F86" s="241">
        <f t="shared" si="5"/>
        <v>1.7500000000000002E-2</v>
      </c>
      <c r="G86" s="235"/>
    </row>
    <row r="87" spans="1:7" ht="16.5" x14ac:dyDescent="0.3">
      <c r="A87" s="250" t="s">
        <v>1075</v>
      </c>
      <c r="B87" s="248" t="s">
        <v>1291</v>
      </c>
      <c r="C87" s="246">
        <f>17.77/1000</f>
        <v>1.7770000000000001E-2</v>
      </c>
      <c r="D87" s="235"/>
      <c r="E87" s="240" t="str">
        <f t="shared" si="4"/>
        <v>03-22 Helados surtidos env cuadrado.    5 ltr</v>
      </c>
      <c r="F87" s="241">
        <f t="shared" si="5"/>
        <v>1.7770000000000001E-2</v>
      </c>
      <c r="G87" s="235"/>
    </row>
    <row r="88" spans="1:7" ht="16.5" x14ac:dyDescent="0.3">
      <c r="A88" s="250" t="s">
        <v>1076</v>
      </c>
      <c r="B88" s="248" t="s">
        <v>1409</v>
      </c>
      <c r="C88" s="243">
        <f>17.77/1000</f>
        <v>1.7770000000000001E-2</v>
      </c>
      <c r="D88" s="235"/>
      <c r="E88" s="240" t="str">
        <f t="shared" si="4"/>
        <v>03-23 Queso Ricota          piezas/kg</v>
      </c>
      <c r="F88" s="241">
        <f t="shared" si="5"/>
        <v>1.7770000000000001E-2</v>
      </c>
      <c r="G88" s="235"/>
    </row>
    <row r="89" spans="1:7" ht="16.5" x14ac:dyDescent="0.3">
      <c r="A89" s="250" t="s">
        <v>1077</v>
      </c>
      <c r="B89" s="248" t="s">
        <v>1410</v>
      </c>
      <c r="C89" s="246"/>
      <c r="D89" s="235"/>
      <c r="E89" s="240" t="str">
        <f t="shared" si="4"/>
        <v>03-24 Queso Palmizulia           piezas/kg</v>
      </c>
      <c r="F89" s="241">
        <f t="shared" si="5"/>
        <v>0</v>
      </c>
      <c r="G89" s="235"/>
    </row>
    <row r="90" spans="1:7" ht="16.5" x14ac:dyDescent="0.3">
      <c r="A90" s="250" t="s">
        <v>1078</v>
      </c>
      <c r="B90" s="248" t="s">
        <v>1290</v>
      </c>
      <c r="C90" s="246"/>
      <c r="D90" s="235"/>
      <c r="E90" s="240" t="str">
        <f t="shared" si="4"/>
        <v>03-25 conos para helado sin sabor      1*600 conos</v>
      </c>
      <c r="F90" s="241">
        <f t="shared" si="5"/>
        <v>0</v>
      </c>
      <c r="G90" s="235"/>
    </row>
    <row r="91" spans="1:7" ht="16.5" x14ac:dyDescent="0.3">
      <c r="A91" s="250" t="s">
        <v>1079</v>
      </c>
      <c r="B91" s="248" t="s">
        <v>1411</v>
      </c>
      <c r="C91" s="246">
        <f>45/30</f>
        <v>1.5</v>
      </c>
      <c r="D91" s="235"/>
      <c r="E91" s="240" t="str">
        <f t="shared" si="4"/>
        <v>03-26 Huevos       1*12*30</v>
      </c>
      <c r="F91" s="241">
        <f t="shared" si="5"/>
        <v>1.5</v>
      </c>
      <c r="G91" s="235"/>
    </row>
    <row r="92" spans="1:7" ht="16.5" x14ac:dyDescent="0.3">
      <c r="A92" s="250" t="s">
        <v>1080</v>
      </c>
      <c r="B92" s="248" t="s">
        <v>1292</v>
      </c>
      <c r="C92" s="243">
        <f>4.28/1000</f>
        <v>4.28E-3</v>
      </c>
      <c r="D92" s="235"/>
      <c r="E92" s="240" t="str">
        <f t="shared" si="4"/>
        <v>04-01 Arroz 98% granos enteros.          1*24 kgr.</v>
      </c>
      <c r="F92" s="241">
        <f t="shared" si="5"/>
        <v>4.28E-3</v>
      </c>
      <c r="G92" s="235"/>
    </row>
    <row r="93" spans="1:7" ht="16.5" x14ac:dyDescent="0.3">
      <c r="A93" s="250" t="s">
        <v>1081</v>
      </c>
      <c r="B93" s="248" t="s">
        <v>1412</v>
      </c>
      <c r="C93" s="243">
        <f>8.5/1000</f>
        <v>8.5000000000000006E-3</v>
      </c>
      <c r="D93" s="235"/>
      <c r="E93" s="240" t="str">
        <f t="shared" si="4"/>
        <v>04-02 Arvejas verdes.      1*24*500 grs.</v>
      </c>
      <c r="F93" s="241">
        <f t="shared" si="5"/>
        <v>8.5000000000000006E-3</v>
      </c>
      <c r="G93" s="235"/>
    </row>
    <row r="94" spans="1:7" ht="16.5" x14ac:dyDescent="0.3">
      <c r="A94" s="250" t="s">
        <v>1082</v>
      </c>
      <c r="B94" s="248" t="s">
        <v>1413</v>
      </c>
      <c r="C94" s="243">
        <f>6.5/1000</f>
        <v>6.4999999999999997E-3</v>
      </c>
      <c r="D94" s="235"/>
      <c r="E94" s="240" t="str">
        <f t="shared" si="4"/>
        <v>04-03 Arvejas amarillas.       1*24*500 grs.</v>
      </c>
      <c r="F94" s="241">
        <f t="shared" si="5"/>
        <v>6.4999999999999997E-3</v>
      </c>
      <c r="G94" s="235"/>
    </row>
    <row r="95" spans="1:7" ht="16.5" x14ac:dyDescent="0.3">
      <c r="A95" s="250" t="s">
        <v>1083</v>
      </c>
      <c r="B95" s="252" t="s">
        <v>1414</v>
      </c>
      <c r="C95" s="243">
        <f>14/1000</f>
        <v>1.4E-2</v>
      </c>
      <c r="D95" s="235"/>
      <c r="E95" s="240" t="str">
        <f t="shared" si="4"/>
        <v>04-04 Lentejas.        1*24*500 grs.</v>
      </c>
      <c r="F95" s="241">
        <f t="shared" si="5"/>
        <v>1.4E-2</v>
      </c>
      <c r="G95" s="235"/>
    </row>
    <row r="96" spans="1:7" ht="16.5" x14ac:dyDescent="0.3">
      <c r="A96" s="250" t="s">
        <v>1084</v>
      </c>
      <c r="B96" s="173" t="s">
        <v>1415</v>
      </c>
      <c r="C96" s="243">
        <f>7/500</f>
        <v>1.4E-2</v>
      </c>
      <c r="D96" s="235"/>
      <c r="E96" s="240" t="str">
        <f t="shared" ref="E96" si="6">A96&amp;" "&amp;B96</f>
        <v>04-05 Caraotas blancas.      1*24*500 grs.</v>
      </c>
      <c r="F96" s="241">
        <f t="shared" ref="F96" si="7">C96</f>
        <v>1.4E-2</v>
      </c>
      <c r="G96" s="235"/>
    </row>
    <row r="97" spans="1:7" ht="16.5" x14ac:dyDescent="0.3">
      <c r="A97" s="250" t="s">
        <v>1085</v>
      </c>
      <c r="B97" s="248" t="s">
        <v>1416</v>
      </c>
      <c r="C97" s="246">
        <f>5/500</f>
        <v>0.01</v>
      </c>
      <c r="D97" s="235"/>
      <c r="E97" s="240" t="str">
        <f t="shared" si="4"/>
        <v>04-06 Caraotas negras.      1*24*500 grs.</v>
      </c>
      <c r="F97" s="241">
        <f t="shared" si="5"/>
        <v>0.01</v>
      </c>
      <c r="G97" s="235"/>
    </row>
    <row r="98" spans="1:7" ht="16.5" x14ac:dyDescent="0.3">
      <c r="A98" s="250" t="s">
        <v>1086</v>
      </c>
      <c r="B98" s="248" t="s">
        <v>1417</v>
      </c>
      <c r="C98" s="246">
        <f>8.5/500</f>
        <v>1.7000000000000001E-2</v>
      </c>
      <c r="D98" s="235"/>
      <c r="E98" s="240" t="str">
        <f t="shared" si="4"/>
        <v>04-07 Caraotas rojas.        1*24*500 grs.</v>
      </c>
      <c r="F98" s="241">
        <f t="shared" si="5"/>
        <v>1.7000000000000001E-2</v>
      </c>
      <c r="G98" s="235"/>
    </row>
    <row r="99" spans="1:7" ht="16.5" x14ac:dyDescent="0.3">
      <c r="A99" s="250" t="s">
        <v>1087</v>
      </c>
      <c r="B99" s="248" t="s">
        <v>1418</v>
      </c>
      <c r="C99" s="246">
        <f>11/500</f>
        <v>2.1999999999999999E-2</v>
      </c>
      <c r="D99" s="235"/>
      <c r="E99" s="240" t="str">
        <f t="shared" si="4"/>
        <v>04-08 Frijoles.       1*24*500 grs.</v>
      </c>
      <c r="F99" s="241">
        <f t="shared" si="5"/>
        <v>2.1999999999999999E-2</v>
      </c>
      <c r="G99" s="235"/>
    </row>
    <row r="100" spans="1:7" ht="16.5" x14ac:dyDescent="0.3">
      <c r="A100" s="250" t="s">
        <v>1088</v>
      </c>
      <c r="B100" s="248" t="s">
        <v>1419</v>
      </c>
      <c r="C100" s="246">
        <f>17.85/1000</f>
        <v>1.7850000000000001E-2</v>
      </c>
      <c r="D100" s="235"/>
      <c r="E100" s="240" t="str">
        <f t="shared" si="4"/>
        <v>04-09 Ajonjoli.           bolsas/kg</v>
      </c>
      <c r="F100" s="241">
        <f t="shared" si="5"/>
        <v>1.7850000000000001E-2</v>
      </c>
      <c r="G100" s="235"/>
    </row>
    <row r="101" spans="1:7" ht="16.5" x14ac:dyDescent="0.3">
      <c r="A101" s="250" t="s">
        <v>1089</v>
      </c>
      <c r="B101" s="248" t="s">
        <v>1420</v>
      </c>
      <c r="C101" s="246">
        <f>14/500</f>
        <v>2.8000000000000001E-2</v>
      </c>
      <c r="D101" s="235"/>
      <c r="E101" s="240" t="str">
        <f t="shared" si="4"/>
        <v>04-10 Garbanzos.       1*24*500 grs.</v>
      </c>
      <c r="F101" s="241">
        <f t="shared" si="5"/>
        <v>2.8000000000000001E-2</v>
      </c>
      <c r="G101" s="235"/>
    </row>
    <row r="102" spans="1:7" ht="16.5" x14ac:dyDescent="0.3">
      <c r="A102" s="250" t="s">
        <v>1273</v>
      </c>
      <c r="B102" s="248" t="s">
        <v>1421</v>
      </c>
      <c r="C102" s="246">
        <f>15/500</f>
        <v>0.03</v>
      </c>
      <c r="D102" s="235"/>
      <c r="E102" s="240" t="str">
        <f t="shared" si="4"/>
        <v>04-11 CusCús.        1*20*500 grs</v>
      </c>
      <c r="F102" s="241">
        <f t="shared" si="5"/>
        <v>0.03</v>
      </c>
      <c r="G102" s="235"/>
    </row>
    <row r="103" spans="1:7" ht="16.5" x14ac:dyDescent="0.3">
      <c r="A103" s="250" t="s">
        <v>1090</v>
      </c>
      <c r="B103" s="248" t="s">
        <v>1422</v>
      </c>
      <c r="C103" s="246">
        <v>0.04</v>
      </c>
      <c r="D103" s="235"/>
      <c r="E103" s="240" t="str">
        <f t="shared" si="4"/>
        <v>05-01 Azucar Montalban         1*180 sobres</v>
      </c>
      <c r="F103" s="241">
        <f t="shared" si="5"/>
        <v>0.04</v>
      </c>
      <c r="G103" s="235"/>
    </row>
    <row r="104" spans="1:7" ht="16.5" x14ac:dyDescent="0.3">
      <c r="A104" s="250" t="s">
        <v>1091</v>
      </c>
      <c r="B104" s="248" t="s">
        <v>1423</v>
      </c>
      <c r="C104" s="246">
        <f>5.27/1000</f>
        <v>5.2699999999999995E-3</v>
      </c>
      <c r="D104" s="235"/>
      <c r="E104" s="240" t="str">
        <f t="shared" si="4"/>
        <v>05-02 Azucar blanca refinada           kgr.</v>
      </c>
      <c r="F104" s="241">
        <f t="shared" si="5"/>
        <v>5.2699999999999995E-3</v>
      </c>
      <c r="G104" s="235"/>
    </row>
    <row r="105" spans="1:7" ht="16.5" x14ac:dyDescent="0.3">
      <c r="A105" s="250" t="s">
        <v>1092</v>
      </c>
      <c r="B105" s="248" t="s">
        <v>1424</v>
      </c>
      <c r="C105" s="246">
        <f>187.5/500</f>
        <v>0.375</v>
      </c>
      <c r="D105" s="235"/>
      <c r="E105" s="240" t="str">
        <f t="shared" si="4"/>
        <v>05-03 Azucar light.        Mostrador 500</v>
      </c>
      <c r="F105" s="241">
        <f t="shared" si="5"/>
        <v>0.375</v>
      </c>
      <c r="G105" s="235"/>
    </row>
    <row r="106" spans="1:7" ht="16.5" x14ac:dyDescent="0.3">
      <c r="A106" s="250" t="s">
        <v>1093</v>
      </c>
      <c r="B106" s="173" t="s">
        <v>1425</v>
      </c>
      <c r="C106" s="246">
        <f>23.57/1000</f>
        <v>2.3570000000000001E-2</v>
      </c>
      <c r="D106" s="235"/>
      <c r="E106" s="240" t="str">
        <f t="shared" si="4"/>
        <v>05-04 Ajinomoto saco       Bolsa/kgr</v>
      </c>
      <c r="F106" s="241">
        <f t="shared" si="5"/>
        <v>2.3570000000000001E-2</v>
      </c>
      <c r="G106" s="235"/>
    </row>
    <row r="107" spans="1:7" ht="16.5" x14ac:dyDescent="0.3">
      <c r="A107" s="240" t="s">
        <v>1094</v>
      </c>
      <c r="B107" s="173" t="s">
        <v>1426</v>
      </c>
      <c r="C107" s="243">
        <f>20/1000</f>
        <v>0.02</v>
      </c>
      <c r="D107" s="235"/>
      <c r="E107" s="240" t="str">
        <f t="shared" si="4"/>
        <v>05-05 Bicarbonato.        Bolsa/kgr</v>
      </c>
      <c r="F107" s="241">
        <f t="shared" si="5"/>
        <v>0.02</v>
      </c>
      <c r="G107" s="235"/>
    </row>
    <row r="108" spans="1:7" ht="16.5" x14ac:dyDescent="0.3">
      <c r="A108" s="240" t="s">
        <v>1095</v>
      </c>
      <c r="B108" s="248" t="s">
        <v>1427</v>
      </c>
      <c r="C108" s="243">
        <f>30/1000</f>
        <v>0.03</v>
      </c>
      <c r="D108" s="235"/>
      <c r="E108" s="240" t="str">
        <f t="shared" si="4"/>
        <v>05-06 Canela entera.         Bolsa/kgr</v>
      </c>
      <c r="F108" s="241">
        <f t="shared" si="5"/>
        <v>0.03</v>
      </c>
      <c r="G108" s="235"/>
    </row>
    <row r="109" spans="1:7" ht="16.5" x14ac:dyDescent="0.3">
      <c r="A109" s="240" t="s">
        <v>1096</v>
      </c>
      <c r="B109" s="248" t="s">
        <v>1428</v>
      </c>
      <c r="C109" s="243">
        <f>50/1000</f>
        <v>0.05</v>
      </c>
      <c r="D109" s="235"/>
      <c r="E109" s="240" t="str">
        <f t="shared" si="4"/>
        <v>05-07 Canela en polvo.       Bolsa/kgr</v>
      </c>
      <c r="F109" s="241">
        <f t="shared" si="5"/>
        <v>0.05</v>
      </c>
      <c r="G109" s="235"/>
    </row>
    <row r="110" spans="1:7" ht="16.5" x14ac:dyDescent="0.3">
      <c r="A110" s="240" t="s">
        <v>1097</v>
      </c>
      <c r="B110" s="248" t="s">
        <v>1429</v>
      </c>
      <c r="C110" s="243">
        <f>25/1000</f>
        <v>2.5000000000000001E-2</v>
      </c>
      <c r="D110" s="235"/>
      <c r="E110" s="240" t="str">
        <f t="shared" si="4"/>
        <v>05-08 Clavos de olor.       Bolsa/kgr</v>
      </c>
      <c r="F110" s="241">
        <f t="shared" si="5"/>
        <v>2.5000000000000001E-2</v>
      </c>
      <c r="G110" s="235"/>
    </row>
    <row r="111" spans="1:7" ht="16.5" x14ac:dyDescent="0.3">
      <c r="A111" s="240" t="s">
        <v>1098</v>
      </c>
      <c r="B111" s="248" t="s">
        <v>1430</v>
      </c>
      <c r="C111" s="243">
        <f>50/1000</f>
        <v>0.05</v>
      </c>
      <c r="D111" s="235"/>
      <c r="E111" s="240" t="str">
        <f t="shared" si="4"/>
        <v>05-09 Comino.         Bolsa/kgr</v>
      </c>
      <c r="F111" s="241">
        <f t="shared" si="5"/>
        <v>0.05</v>
      </c>
      <c r="G111" s="235"/>
    </row>
    <row r="112" spans="1:7" ht="16.5" x14ac:dyDescent="0.3">
      <c r="A112" s="240" t="s">
        <v>1099</v>
      </c>
      <c r="B112" s="248" t="s">
        <v>1431</v>
      </c>
      <c r="C112" s="246"/>
      <c r="D112" s="235"/>
      <c r="E112" s="240" t="str">
        <f t="shared" si="4"/>
        <v>05-10 Colorante amarillo      Bolsa/kgr</v>
      </c>
      <c r="F112" s="241">
        <f t="shared" si="5"/>
        <v>0</v>
      </c>
      <c r="G112" s="235"/>
    </row>
    <row r="113" spans="1:7" ht="16.5" x14ac:dyDescent="0.3">
      <c r="A113" s="253" t="s">
        <v>1100</v>
      </c>
      <c r="B113" s="248" t="s">
        <v>1432</v>
      </c>
      <c r="C113" s="243">
        <f>30/1000</f>
        <v>0.03</v>
      </c>
      <c r="D113" s="235"/>
      <c r="E113" s="240" t="str">
        <f t="shared" si="4"/>
        <v>05-11 Curry Trinitario.       Bolsa/kgr</v>
      </c>
      <c r="F113" s="241">
        <f t="shared" si="5"/>
        <v>0.03</v>
      </c>
      <c r="G113" s="235"/>
    </row>
    <row r="114" spans="1:7" ht="16.5" x14ac:dyDescent="0.3">
      <c r="A114" s="253" t="s">
        <v>1101</v>
      </c>
      <c r="B114" s="248" t="s">
        <v>1433</v>
      </c>
      <c r="C114" s="243">
        <f>50/1000</f>
        <v>0.05</v>
      </c>
      <c r="D114" s="235"/>
      <c r="E114" s="240" t="str">
        <f t="shared" si="4"/>
        <v>05-12 Curcuma.      Bolsa/kgr</v>
      </c>
      <c r="F114" s="241">
        <f t="shared" si="5"/>
        <v>0.05</v>
      </c>
      <c r="G114" s="235"/>
    </row>
    <row r="115" spans="1:7" ht="16.5" x14ac:dyDescent="0.3">
      <c r="A115" s="253" t="s">
        <v>1102</v>
      </c>
      <c r="B115" s="248" t="s">
        <v>1434</v>
      </c>
      <c r="C115" s="246"/>
      <c r="D115" s="235"/>
      <c r="E115" s="240" t="str">
        <f t="shared" si="4"/>
        <v>05-13 Anis semillas.         Bolsa/kgr</v>
      </c>
      <c r="F115" s="241">
        <f t="shared" si="5"/>
        <v>0</v>
      </c>
      <c r="G115" s="235"/>
    </row>
    <row r="116" spans="1:7" ht="16.5" x14ac:dyDescent="0.3">
      <c r="A116" s="253" t="s">
        <v>1103</v>
      </c>
      <c r="B116" s="248" t="s">
        <v>1435</v>
      </c>
      <c r="C116" s="246">
        <f>39.57/1000</f>
        <v>3.9570000000000001E-2</v>
      </c>
      <c r="D116" s="235"/>
      <c r="E116" s="240" t="str">
        <f t="shared" si="4"/>
        <v>05-14 Chocolate granulado.       Bolsa/kgr</v>
      </c>
      <c r="F116" s="241">
        <f t="shared" si="5"/>
        <v>3.9570000000000001E-2</v>
      </c>
      <c r="G116" s="235"/>
    </row>
    <row r="117" spans="1:7" ht="16.5" x14ac:dyDescent="0.3">
      <c r="A117" s="253" t="s">
        <v>1104</v>
      </c>
      <c r="B117" s="248" t="s">
        <v>1436</v>
      </c>
      <c r="C117" s="246">
        <f>44.64/1000</f>
        <v>4.4639999999999999E-2</v>
      </c>
      <c r="D117" s="235"/>
      <c r="E117" s="240" t="str">
        <f t="shared" si="4"/>
        <v>05-15 Cacao en polvo.     Bolsa/kgr</v>
      </c>
      <c r="F117" s="241">
        <f t="shared" si="5"/>
        <v>4.4639999999999999E-2</v>
      </c>
      <c r="G117" s="235"/>
    </row>
    <row r="118" spans="1:7" ht="16.5" x14ac:dyDescent="0.3">
      <c r="A118" s="253" t="s">
        <v>1105</v>
      </c>
      <c r="B118" s="248" t="s">
        <v>1437</v>
      </c>
      <c r="C118" s="246">
        <f>200/1000</f>
        <v>0.2</v>
      </c>
      <c r="D118" s="235"/>
      <c r="E118" s="240" t="str">
        <f t="shared" si="4"/>
        <v>05-16 Estragon seco.        Bolsa/kgr</v>
      </c>
      <c r="F118" s="241">
        <f t="shared" si="5"/>
        <v>0.2</v>
      </c>
      <c r="G118" s="235"/>
    </row>
    <row r="119" spans="1:7" ht="16.5" x14ac:dyDescent="0.3">
      <c r="A119" s="253" t="s">
        <v>1106</v>
      </c>
      <c r="B119" s="248" t="s">
        <v>1438</v>
      </c>
      <c r="C119" s="246">
        <f>38.8/1000</f>
        <v>3.8799999999999994E-2</v>
      </c>
      <c r="D119" s="235"/>
      <c r="E119" s="240" t="str">
        <f t="shared" si="4"/>
        <v xml:space="preserve">05-17 Esencias de sabores        litros </v>
      </c>
      <c r="F119" s="241">
        <f t="shared" si="5"/>
        <v>3.8799999999999994E-2</v>
      </c>
      <c r="G119" s="235"/>
    </row>
    <row r="120" spans="1:7" ht="16.5" x14ac:dyDescent="0.3">
      <c r="A120" s="253" t="s">
        <v>1107</v>
      </c>
      <c r="B120" s="248" t="s">
        <v>1439</v>
      </c>
      <c r="C120" s="246">
        <f>27/1000</f>
        <v>2.7E-2</v>
      </c>
      <c r="D120" s="235"/>
      <c r="E120" s="240" t="str">
        <f t="shared" si="4"/>
        <v>05-18 Hojas de laurel.        Bolsa/kgr</v>
      </c>
      <c r="F120" s="241">
        <f t="shared" si="5"/>
        <v>2.7E-2</v>
      </c>
      <c r="G120" s="235"/>
    </row>
    <row r="121" spans="1:7" ht="16.5" x14ac:dyDescent="0.3">
      <c r="A121" s="253" t="s">
        <v>1108</v>
      </c>
      <c r="B121" s="248" t="s">
        <v>1440</v>
      </c>
      <c r="C121" s="246">
        <f>120/1000</f>
        <v>0.12</v>
      </c>
      <c r="D121" s="235"/>
      <c r="E121" s="240" t="str">
        <f t="shared" si="4"/>
        <v>05-19 Nuez moscada entera.          Bolsa/kgr</v>
      </c>
      <c r="F121" s="241">
        <f t="shared" si="5"/>
        <v>0.12</v>
      </c>
      <c r="G121" s="235"/>
    </row>
    <row r="122" spans="1:7" ht="16.5" x14ac:dyDescent="0.3">
      <c r="A122" s="253" t="s">
        <v>1109</v>
      </c>
      <c r="B122" s="248" t="s">
        <v>1441</v>
      </c>
      <c r="C122" s="246">
        <f>26.79/1000</f>
        <v>2.6789999999999998E-2</v>
      </c>
      <c r="D122" s="235"/>
      <c r="E122" s="240" t="str">
        <f t="shared" si="4"/>
        <v>05-20 Nevazucar.         Bolsa/kgr</v>
      </c>
      <c r="F122" s="241">
        <f t="shared" si="5"/>
        <v>2.6789999999999998E-2</v>
      </c>
      <c r="G122" s="235"/>
    </row>
    <row r="123" spans="1:7" ht="16.5" x14ac:dyDescent="0.3">
      <c r="A123" s="253" t="s">
        <v>1110</v>
      </c>
      <c r="B123" s="248" t="s">
        <v>1442</v>
      </c>
      <c r="C123" s="246">
        <f>30/1000</f>
        <v>0.03</v>
      </c>
      <c r="D123" s="235"/>
      <c r="E123" s="240" t="str">
        <f t="shared" si="4"/>
        <v>05-21 Onoto en grano.       Bolsa/kgr</v>
      </c>
      <c r="F123" s="241">
        <f t="shared" si="5"/>
        <v>0.03</v>
      </c>
      <c r="G123" s="235"/>
    </row>
    <row r="124" spans="1:7" ht="16.5" x14ac:dyDescent="0.3">
      <c r="A124" s="253" t="s">
        <v>1111</v>
      </c>
      <c r="B124" s="248" t="s">
        <v>1443</v>
      </c>
      <c r="C124" s="246">
        <f>30/1000</f>
        <v>0.03</v>
      </c>
      <c r="D124" s="235"/>
      <c r="E124" s="240" t="str">
        <f t="shared" si="4"/>
        <v>05-22 oregano en polvo.        Bolsa/kgr</v>
      </c>
      <c r="F124" s="241">
        <f t="shared" si="5"/>
        <v>0.03</v>
      </c>
      <c r="G124" s="235"/>
    </row>
    <row r="125" spans="1:7" ht="16.5" x14ac:dyDescent="0.3">
      <c r="A125" s="253" t="s">
        <v>1112</v>
      </c>
      <c r="B125" s="248" t="s">
        <v>1444</v>
      </c>
      <c r="C125" s="243">
        <f>25/1000</f>
        <v>2.5000000000000001E-2</v>
      </c>
      <c r="D125" s="235"/>
      <c r="E125" s="240" t="str">
        <f t="shared" si="4"/>
        <v>05-23 Oregano en entero.        Bolsa/kgr</v>
      </c>
      <c r="F125" s="241">
        <f t="shared" si="5"/>
        <v>2.5000000000000001E-2</v>
      </c>
      <c r="G125" s="235"/>
    </row>
    <row r="126" spans="1:7" ht="16.5" x14ac:dyDescent="0.3">
      <c r="A126" s="253" t="s">
        <v>1113</v>
      </c>
      <c r="B126" s="248" t="s">
        <v>1293</v>
      </c>
      <c r="C126" s="243">
        <f>9.99/1000</f>
        <v>9.9900000000000006E-3</v>
      </c>
      <c r="D126" s="235"/>
      <c r="E126" s="240" t="str">
        <f t="shared" si="4"/>
        <v>05-24 Chile adobada costeña seco.     Bolsa/kgr</v>
      </c>
      <c r="F126" s="241">
        <f t="shared" si="5"/>
        <v>9.9900000000000006E-3</v>
      </c>
      <c r="G126" s="235"/>
    </row>
    <row r="127" spans="1:7" ht="16.5" x14ac:dyDescent="0.3">
      <c r="A127" s="253" t="s">
        <v>1114</v>
      </c>
      <c r="B127" s="248" t="s">
        <v>1445</v>
      </c>
      <c r="C127" s="246">
        <v>13</v>
      </c>
      <c r="D127" s="235"/>
      <c r="E127" s="240" t="str">
        <f t="shared" si="4"/>
        <v>05-25 Papelon.        Unidad</v>
      </c>
      <c r="F127" s="241">
        <f t="shared" si="5"/>
        <v>13</v>
      </c>
      <c r="G127" s="235"/>
    </row>
    <row r="128" spans="1:7" ht="16.5" x14ac:dyDescent="0.3">
      <c r="A128" s="253" t="s">
        <v>1115</v>
      </c>
      <c r="B128" s="248" t="s">
        <v>1294</v>
      </c>
      <c r="C128" s="243">
        <f>58.43/1000</f>
        <v>5.8430000000000003E-2</v>
      </c>
      <c r="D128" s="235"/>
      <c r="E128" s="240" t="str">
        <f t="shared" si="4"/>
        <v>05-26 Paprica. (pimenton español).      Bolsa/kgr</v>
      </c>
      <c r="F128" s="241">
        <f t="shared" si="5"/>
        <v>5.8430000000000003E-2</v>
      </c>
      <c r="G128" s="235"/>
    </row>
    <row r="129" spans="1:7" ht="16.5" x14ac:dyDescent="0.3">
      <c r="A129" s="253" t="s">
        <v>1116</v>
      </c>
      <c r="B129" s="248" t="s">
        <v>1295</v>
      </c>
      <c r="C129" s="243">
        <f>60/1000</f>
        <v>0.06</v>
      </c>
      <c r="D129" s="235"/>
      <c r="E129" s="240" t="str">
        <f t="shared" si="4"/>
        <v>05-27 Pimienta negra en granos.           Bolsa/kgr</v>
      </c>
      <c r="F129" s="241">
        <f t="shared" si="5"/>
        <v>0.06</v>
      </c>
      <c r="G129" s="235"/>
    </row>
    <row r="130" spans="1:7" ht="16.5" x14ac:dyDescent="0.3">
      <c r="A130" s="253" t="s">
        <v>1117</v>
      </c>
      <c r="B130" s="248" t="s">
        <v>1296</v>
      </c>
      <c r="C130" s="243">
        <f>70/1000</f>
        <v>7.0000000000000007E-2</v>
      </c>
      <c r="D130" s="235"/>
      <c r="E130" s="240" t="str">
        <f t="shared" si="4"/>
        <v>05-28 Pimienta negra en polvo.             Bolsa/kgr</v>
      </c>
      <c r="F130" s="241">
        <f t="shared" si="5"/>
        <v>7.0000000000000007E-2</v>
      </c>
      <c r="G130" s="235"/>
    </row>
    <row r="131" spans="1:7" ht="16.5" x14ac:dyDescent="0.3">
      <c r="A131" s="253" t="s">
        <v>1118</v>
      </c>
      <c r="B131" s="248" t="s">
        <v>1297</v>
      </c>
      <c r="C131" s="243">
        <f>80/1000</f>
        <v>0.08</v>
      </c>
      <c r="D131" s="235"/>
      <c r="E131" s="240" t="str">
        <f t="shared" si="4"/>
        <v>05-29 Pimienta blanca en granos.         Bolsa/kgr</v>
      </c>
      <c r="F131" s="241">
        <f t="shared" si="5"/>
        <v>0.08</v>
      </c>
      <c r="G131" s="235"/>
    </row>
    <row r="132" spans="1:7" ht="16.5" x14ac:dyDescent="0.3">
      <c r="A132" s="253" t="s">
        <v>1119</v>
      </c>
      <c r="B132" s="248" t="s">
        <v>1298</v>
      </c>
      <c r="C132" s="243">
        <f>70/1000</f>
        <v>7.0000000000000007E-2</v>
      </c>
      <c r="D132" s="235"/>
      <c r="E132" s="240" t="str">
        <f t="shared" ref="E132:E195" si="8">A132&amp;" "&amp;B132</f>
        <v>05-30 Pimienta blanca en polvo.            Bolsa/kgr</v>
      </c>
      <c r="F132" s="241">
        <f t="shared" ref="F132:F195" si="9">C132</f>
        <v>7.0000000000000007E-2</v>
      </c>
      <c r="G132" s="235"/>
    </row>
    <row r="133" spans="1:7" ht="16.5" x14ac:dyDescent="0.3">
      <c r="A133" s="253" t="s">
        <v>1120</v>
      </c>
      <c r="B133" s="248" t="s">
        <v>1446</v>
      </c>
      <c r="C133" s="243">
        <f>38/1000</f>
        <v>3.7999999999999999E-2</v>
      </c>
      <c r="D133" s="235"/>
      <c r="E133" s="240" t="str">
        <f t="shared" si="8"/>
        <v>05-31 Pimienta guayabita.           Bolsa/kgr</v>
      </c>
      <c r="F133" s="241">
        <f t="shared" si="9"/>
        <v>3.7999999999999999E-2</v>
      </c>
      <c r="G133" s="235"/>
    </row>
    <row r="134" spans="1:7" ht="16.5" x14ac:dyDescent="0.3">
      <c r="A134" s="253" t="s">
        <v>1121</v>
      </c>
      <c r="B134" s="248" t="s">
        <v>1447</v>
      </c>
      <c r="C134" s="243">
        <f>38/1000</f>
        <v>3.7999999999999999E-2</v>
      </c>
      <c r="D134" s="235"/>
      <c r="E134" s="240" t="str">
        <f t="shared" si="8"/>
        <v>05-32 Romero seco.        Bolsa/kgr</v>
      </c>
      <c r="F134" s="241">
        <f t="shared" si="9"/>
        <v>3.7999999999999999E-2</v>
      </c>
      <c r="G134" s="235"/>
    </row>
    <row r="135" spans="1:7" ht="16.5" x14ac:dyDescent="0.3">
      <c r="A135" s="253" t="s">
        <v>0</v>
      </c>
      <c r="B135" s="248" t="s">
        <v>1448</v>
      </c>
      <c r="C135" s="246">
        <v>1.5752000000000002</v>
      </c>
      <c r="D135" s="235"/>
      <c r="E135" s="240" t="str">
        <f t="shared" si="8"/>
        <v>05-33 Sal empaque.      1*25 kgr</v>
      </c>
      <c r="F135" s="241">
        <f t="shared" si="9"/>
        <v>1.5752000000000002</v>
      </c>
      <c r="G135" s="235"/>
    </row>
    <row r="136" spans="1:7" ht="16.5" x14ac:dyDescent="0.3">
      <c r="A136" s="253" t="s">
        <v>1</v>
      </c>
      <c r="B136" s="248" t="s">
        <v>1449</v>
      </c>
      <c r="C136" s="243">
        <f>70/1000</f>
        <v>7.0000000000000007E-2</v>
      </c>
      <c r="D136" s="235"/>
      <c r="E136" s="240" t="str">
        <f t="shared" si="8"/>
        <v>05-34 Salvia.           Bolsa/kgr</v>
      </c>
      <c r="F136" s="241">
        <f t="shared" si="9"/>
        <v>7.0000000000000007E-2</v>
      </c>
      <c r="G136" s="235"/>
    </row>
    <row r="137" spans="1:7" ht="16.5" x14ac:dyDescent="0.3">
      <c r="A137" s="253" t="s">
        <v>2</v>
      </c>
      <c r="B137" s="248" t="s">
        <v>1450</v>
      </c>
      <c r="C137" s="243">
        <f>100/1000</f>
        <v>0.1</v>
      </c>
      <c r="D137" s="235"/>
      <c r="E137" s="240" t="str">
        <f t="shared" si="8"/>
        <v>05-35 Tomillo.             Bolsa/kgr</v>
      </c>
      <c r="F137" s="241">
        <f t="shared" si="9"/>
        <v>0.1</v>
      </c>
      <c r="G137" s="235"/>
    </row>
    <row r="138" spans="1:7" ht="15.75" x14ac:dyDescent="0.3">
      <c r="A138" s="170" t="s">
        <v>1122</v>
      </c>
      <c r="B138" s="173" t="s">
        <v>1451</v>
      </c>
      <c r="C138" s="169">
        <v>16.25</v>
      </c>
      <c r="D138" s="235"/>
      <c r="E138" s="240" t="str">
        <f t="shared" si="8"/>
        <v>06-01 All Bran variados     1*3*600 gr</v>
      </c>
      <c r="F138" s="241">
        <f t="shared" si="9"/>
        <v>16.25</v>
      </c>
      <c r="G138" s="235"/>
    </row>
    <row r="139" spans="1:7" ht="16.5" x14ac:dyDescent="0.3">
      <c r="A139" s="170" t="s">
        <v>1123</v>
      </c>
      <c r="B139" s="248" t="s">
        <v>1452</v>
      </c>
      <c r="C139" s="243">
        <f>6.63/800</f>
        <v>8.2874999999999997E-3</v>
      </c>
      <c r="D139" s="235"/>
      <c r="E139" s="240" t="str">
        <f t="shared" si="8"/>
        <v>06-02 Avena Quaker en hojuela.      1*12*800 gr</v>
      </c>
      <c r="F139" s="241">
        <f t="shared" si="9"/>
        <v>8.2874999999999997E-3</v>
      </c>
      <c r="G139" s="235"/>
    </row>
    <row r="140" spans="1:7" ht="16.5" x14ac:dyDescent="0.3">
      <c r="A140" s="170" t="s">
        <v>1124</v>
      </c>
      <c r="B140" s="248" t="s">
        <v>1453</v>
      </c>
      <c r="C140" s="243">
        <f>9.28/900</f>
        <v>1.0311111111111111E-2</v>
      </c>
      <c r="D140" s="235"/>
      <c r="E140" s="240" t="str">
        <f t="shared" si="8"/>
        <v>06-03 Crema de arroz Primor.        1*12*900 gr</v>
      </c>
      <c r="F140" s="241">
        <f t="shared" si="9"/>
        <v>1.0311111111111111E-2</v>
      </c>
      <c r="G140" s="235"/>
    </row>
    <row r="141" spans="1:7" ht="15.75" x14ac:dyDescent="0.3">
      <c r="A141" s="170" t="s">
        <v>1125</v>
      </c>
      <c r="B141" s="248" t="s">
        <v>1454</v>
      </c>
      <c r="C141" s="169">
        <v>23</v>
      </c>
      <c r="D141" s="235"/>
      <c r="E141" s="240" t="str">
        <f t="shared" si="8"/>
        <v>06-04 Cerelac lata.         1*12*1 Kgr.</v>
      </c>
      <c r="F141" s="241">
        <f t="shared" si="9"/>
        <v>23</v>
      </c>
      <c r="G141" s="235"/>
    </row>
    <row r="142" spans="1:7" ht="15.75" x14ac:dyDescent="0.3">
      <c r="A142" s="170" t="s">
        <v>1126</v>
      </c>
      <c r="B142" s="248" t="s">
        <v>1455</v>
      </c>
      <c r="C142" s="169">
        <v>14.285833333333334</v>
      </c>
      <c r="D142" s="235"/>
      <c r="E142" s="240" t="str">
        <f t="shared" si="8"/>
        <v>06-05 Frescavena variada.      1*12*500 gr</v>
      </c>
      <c r="F142" s="241">
        <f t="shared" si="9"/>
        <v>14.285833333333334</v>
      </c>
      <c r="G142" s="235"/>
    </row>
    <row r="143" spans="1:7" ht="16.5" x14ac:dyDescent="0.3">
      <c r="A143" s="170" t="s">
        <v>1127</v>
      </c>
      <c r="B143" s="248" t="s">
        <v>1456</v>
      </c>
      <c r="C143" s="243">
        <f>12.27/900</f>
        <v>1.3633333333333332E-2</v>
      </c>
      <c r="D143" s="235"/>
      <c r="E143" s="240" t="str">
        <f t="shared" si="8"/>
        <v>06-06 Fororo la lucha.         1*12*900 gr</v>
      </c>
      <c r="F143" s="241">
        <f t="shared" si="9"/>
        <v>1.3633333333333332E-2</v>
      </c>
      <c r="G143" s="235"/>
    </row>
    <row r="144" spans="1:7" ht="16.5" x14ac:dyDescent="0.3">
      <c r="A144" s="170" t="s">
        <v>1128</v>
      </c>
      <c r="B144" s="248" t="s">
        <v>1457</v>
      </c>
      <c r="C144" s="243">
        <f>12.27/800</f>
        <v>1.5337499999999999E-2</v>
      </c>
      <c r="D144" s="235"/>
      <c r="E144" s="240" t="str">
        <f t="shared" si="8"/>
        <v>06-07 Maizina americana.       1*16*800 gr.</v>
      </c>
      <c r="F144" s="241">
        <f t="shared" si="9"/>
        <v>1.5337499999999999E-2</v>
      </c>
      <c r="G144" s="235"/>
    </row>
    <row r="145" spans="1:7" ht="15.75" x14ac:dyDescent="0.3">
      <c r="A145" s="170" t="s">
        <v>1129</v>
      </c>
      <c r="B145" s="248" t="s">
        <v>1458</v>
      </c>
      <c r="C145" s="169">
        <v>17.190000000000001</v>
      </c>
      <c r="D145" s="235"/>
      <c r="E145" s="240" t="str">
        <f t="shared" si="8"/>
        <v>06-08 Corn Flakes.        1*12*500 gr</v>
      </c>
      <c r="F145" s="241">
        <f t="shared" si="9"/>
        <v>17.190000000000001</v>
      </c>
      <c r="G145" s="235"/>
    </row>
    <row r="146" spans="1:7" ht="15.75" x14ac:dyDescent="0.3">
      <c r="A146" s="170" t="s">
        <v>1130</v>
      </c>
      <c r="B146" s="248" t="s">
        <v>1459</v>
      </c>
      <c r="C146" s="169">
        <v>32</v>
      </c>
      <c r="D146" s="235"/>
      <c r="E146" s="240" t="str">
        <f t="shared" si="8"/>
        <v>06-09 Special K original.        1*3*540 gr</v>
      </c>
      <c r="F146" s="241">
        <f t="shared" si="9"/>
        <v>32</v>
      </c>
      <c r="G146" s="235"/>
    </row>
    <row r="147" spans="1:7" ht="15.75" x14ac:dyDescent="0.3">
      <c r="A147" s="170" t="s">
        <v>1131</v>
      </c>
      <c r="B147" s="248" t="s">
        <v>1460</v>
      </c>
      <c r="C147" s="169">
        <v>13</v>
      </c>
      <c r="D147" s="235"/>
      <c r="E147" s="240" t="str">
        <f t="shared" si="8"/>
        <v>06-10 Special K con pasas.      1*3*380 gr</v>
      </c>
      <c r="F147" s="241">
        <f t="shared" si="9"/>
        <v>13</v>
      </c>
      <c r="G147" s="235"/>
    </row>
    <row r="148" spans="1:7" ht="16.5" x14ac:dyDescent="0.3">
      <c r="A148" s="170" t="s">
        <v>1132</v>
      </c>
      <c r="B148" s="248" t="s">
        <v>1461</v>
      </c>
      <c r="C148" s="243">
        <v>23.1</v>
      </c>
      <c r="D148" s="235"/>
      <c r="E148" s="240" t="str">
        <f t="shared" si="8"/>
        <v xml:space="preserve">06-11 Musli variado.      1*3*325 gr. </v>
      </c>
      <c r="F148" s="241">
        <f t="shared" si="9"/>
        <v>23.1</v>
      </c>
      <c r="G148" s="235"/>
    </row>
    <row r="149" spans="1:7" ht="15.75" x14ac:dyDescent="0.3">
      <c r="A149" s="170" t="s">
        <v>1133</v>
      </c>
      <c r="B149" s="248" t="s">
        <v>1462</v>
      </c>
      <c r="C149" s="169">
        <v>22.95</v>
      </c>
      <c r="D149" s="235"/>
      <c r="E149" s="240" t="str">
        <f t="shared" si="8"/>
        <v>06-12 Corp pops         1*3*350 gr.</v>
      </c>
      <c r="F149" s="241">
        <f t="shared" si="9"/>
        <v>22.95</v>
      </c>
      <c r="G149" s="235"/>
    </row>
    <row r="150" spans="1:7" ht="15.75" x14ac:dyDescent="0.3">
      <c r="A150" s="170" t="s">
        <v>3</v>
      </c>
      <c r="B150" s="248" t="s">
        <v>1463</v>
      </c>
      <c r="C150" s="169">
        <v>22.95</v>
      </c>
      <c r="D150" s="235"/>
      <c r="E150" s="240" t="str">
        <f t="shared" si="8"/>
        <v xml:space="preserve">06-13 Froot loops        1*3*405 gr. </v>
      </c>
      <c r="F150" s="241">
        <f t="shared" si="9"/>
        <v>22.95</v>
      </c>
      <c r="G150" s="235"/>
    </row>
    <row r="151" spans="1:7" ht="15.75" x14ac:dyDescent="0.3">
      <c r="A151" s="170" t="s">
        <v>4</v>
      </c>
      <c r="B151" s="248" t="s">
        <v>1464</v>
      </c>
      <c r="C151" s="169">
        <v>22.95</v>
      </c>
      <c r="D151" s="235"/>
      <c r="E151" s="240" t="str">
        <f t="shared" si="8"/>
        <v>06-14 Zucarita          1*3*590 gr</v>
      </c>
      <c r="F151" s="241">
        <f t="shared" si="9"/>
        <v>22.95</v>
      </c>
      <c r="G151" s="235"/>
    </row>
    <row r="152" spans="1:7" ht="15.75" x14ac:dyDescent="0.3">
      <c r="A152" s="170" t="s">
        <v>1134</v>
      </c>
      <c r="B152" s="238" t="s">
        <v>1465</v>
      </c>
      <c r="C152" s="171">
        <f>2.24*24</f>
        <v>53.760000000000005</v>
      </c>
      <c r="D152" s="235"/>
      <c r="E152" s="240" t="str">
        <f t="shared" si="8"/>
        <v>07-01 Agua.          1*24und*330 ml</v>
      </c>
      <c r="F152" s="241">
        <f t="shared" si="9"/>
        <v>53.760000000000005</v>
      </c>
      <c r="G152" s="235"/>
    </row>
    <row r="153" spans="1:7" ht="15.75" x14ac:dyDescent="0.3">
      <c r="A153" s="170" t="s">
        <v>1135</v>
      </c>
      <c r="B153" s="245" t="s">
        <v>1466</v>
      </c>
      <c r="C153" s="171">
        <f>11*4</f>
        <v>44</v>
      </c>
      <c r="D153" s="235"/>
      <c r="E153" s="240" t="str">
        <f t="shared" si="8"/>
        <v>07-02 Agua           1*4 und*5 Ltr.</v>
      </c>
      <c r="F153" s="241">
        <f t="shared" si="9"/>
        <v>44</v>
      </c>
      <c r="G153" s="235"/>
    </row>
    <row r="154" spans="1:7" ht="15.75" x14ac:dyDescent="0.3">
      <c r="A154" s="170" t="s">
        <v>1136</v>
      </c>
      <c r="B154" s="254" t="s">
        <v>1467</v>
      </c>
      <c r="C154" s="171"/>
      <c r="D154" s="235"/>
      <c r="E154" s="240" t="str">
        <f t="shared" si="8"/>
        <v>07-03 Agua       1*24 und*500ml</v>
      </c>
      <c r="F154" s="241">
        <f t="shared" si="9"/>
        <v>0</v>
      </c>
      <c r="G154" s="235"/>
    </row>
    <row r="155" spans="1:7" ht="15.75" x14ac:dyDescent="0.3">
      <c r="A155" s="170" t="s">
        <v>1137</v>
      </c>
      <c r="B155" s="245" t="s">
        <v>1468</v>
      </c>
      <c r="C155" s="169">
        <v>2.7E-2</v>
      </c>
      <c r="D155" s="235"/>
      <c r="E155" s="240" t="str">
        <f t="shared" si="8"/>
        <v>07-04 Bag in box coca cola.        1*18 ltrs</v>
      </c>
      <c r="F155" s="241">
        <f t="shared" si="9"/>
        <v>2.7E-2</v>
      </c>
      <c r="G155" s="235"/>
    </row>
    <row r="156" spans="1:7" ht="15.75" x14ac:dyDescent="0.3">
      <c r="A156" s="170" t="s">
        <v>1138</v>
      </c>
      <c r="B156" s="245" t="s">
        <v>1469</v>
      </c>
      <c r="C156" s="169">
        <v>1.2673888888888889E-2</v>
      </c>
      <c r="D156" s="235"/>
      <c r="E156" s="240" t="str">
        <f t="shared" si="8"/>
        <v>07-05 Bag in box cocacola light.      1*9 ltrs</v>
      </c>
      <c r="F156" s="241">
        <f t="shared" si="9"/>
        <v>1.2673888888888889E-2</v>
      </c>
      <c r="G156" s="235"/>
    </row>
    <row r="157" spans="1:7" ht="15.75" x14ac:dyDescent="0.3">
      <c r="A157" s="170" t="s">
        <v>1139</v>
      </c>
      <c r="B157" s="245" t="s">
        <v>1470</v>
      </c>
      <c r="C157" s="169">
        <v>2.7033888888888889E-2</v>
      </c>
      <c r="D157" s="235"/>
      <c r="E157" s="240" t="str">
        <f t="shared" si="8"/>
        <v>07-06 Bag in box chinoto.       1*18 ltrs</v>
      </c>
      <c r="F157" s="241">
        <f t="shared" si="9"/>
        <v>2.7033888888888889E-2</v>
      </c>
      <c r="G157" s="235"/>
    </row>
    <row r="158" spans="1:7" ht="15.75" x14ac:dyDescent="0.3">
      <c r="A158" s="170" t="s">
        <v>1140</v>
      </c>
      <c r="B158" s="245" t="s">
        <v>1471</v>
      </c>
      <c r="C158" s="169">
        <v>2.7033888888888889E-2</v>
      </c>
      <c r="D158" s="235"/>
      <c r="E158" s="240" t="str">
        <f t="shared" si="8"/>
        <v xml:space="preserve">07-07 Bag in box frescolita.         1*18 ltrs. </v>
      </c>
      <c r="F158" s="241">
        <f t="shared" si="9"/>
        <v>2.7033888888888889E-2</v>
      </c>
      <c r="G158" s="235"/>
    </row>
    <row r="159" spans="1:7" ht="15.75" x14ac:dyDescent="0.3">
      <c r="A159" s="170" t="s">
        <v>1141</v>
      </c>
      <c r="B159" s="245" t="s">
        <v>1472</v>
      </c>
      <c r="C159" s="169">
        <v>1.3541666666666667E-2</v>
      </c>
      <c r="D159" s="235"/>
      <c r="E159" s="240" t="str">
        <f t="shared" si="8"/>
        <v>07-08 Bag in box naranja.         1*9 ltrs.</v>
      </c>
      <c r="F159" s="241">
        <f t="shared" si="9"/>
        <v>1.3541666666666667E-2</v>
      </c>
      <c r="G159" s="235"/>
    </row>
    <row r="160" spans="1:7" ht="15.75" x14ac:dyDescent="0.3">
      <c r="A160" s="170" t="s">
        <v>1142</v>
      </c>
      <c r="B160" s="245" t="s">
        <v>1473</v>
      </c>
      <c r="C160" s="169">
        <v>50</v>
      </c>
      <c r="D160" s="235"/>
      <c r="E160" s="240" t="str">
        <f t="shared" si="8"/>
        <v>07-09 Bombona de gas CO₂        9 libras</v>
      </c>
      <c r="F160" s="241">
        <f t="shared" si="9"/>
        <v>50</v>
      </c>
      <c r="G160" s="235"/>
    </row>
    <row r="161" spans="1:7" ht="15.75" x14ac:dyDescent="0.3">
      <c r="A161" s="170" t="s">
        <v>1143</v>
      </c>
      <c r="B161" s="245" t="s">
        <v>1474</v>
      </c>
      <c r="C161" s="169">
        <f>469.64/6</f>
        <v>78.273333333333326</v>
      </c>
      <c r="D161" s="235"/>
      <c r="E161" s="240" t="str">
        <f t="shared" si="8"/>
        <v xml:space="preserve">07-10 Nestea en polvo limón         1*6*1,75 Kgr. </v>
      </c>
      <c r="F161" s="241">
        <f t="shared" si="9"/>
        <v>78.273333333333326</v>
      </c>
      <c r="G161" s="235"/>
    </row>
    <row r="162" spans="1:7" ht="15.75" x14ac:dyDescent="0.3">
      <c r="A162" s="170" t="s">
        <v>1144</v>
      </c>
      <c r="B162" s="245" t="s">
        <v>1475</v>
      </c>
      <c r="C162" s="169">
        <f>469.64/6</f>
        <v>78.273333333333326</v>
      </c>
      <c r="D162" s="235"/>
      <c r="E162" s="240" t="str">
        <f t="shared" si="8"/>
        <v>07-11 Nestea en polvo durazno        1*6*1,750 kgr.</v>
      </c>
      <c r="F162" s="241">
        <f t="shared" si="9"/>
        <v>78.273333333333326</v>
      </c>
      <c r="G162" s="235"/>
    </row>
    <row r="163" spans="1:7" ht="15.75" x14ac:dyDescent="0.3">
      <c r="A163" s="170" t="s">
        <v>1145</v>
      </c>
      <c r="B163" s="245" t="s">
        <v>1476</v>
      </c>
      <c r="C163" s="169">
        <v>10.82</v>
      </c>
      <c r="D163" s="235"/>
      <c r="E163" s="240" t="str">
        <f t="shared" si="8"/>
        <v>07-12 Refresco         1*12*1,5 ltrs.</v>
      </c>
      <c r="F163" s="241">
        <f t="shared" si="9"/>
        <v>10.82</v>
      </c>
      <c r="G163" s="235"/>
    </row>
    <row r="164" spans="1:7" ht="15.75" x14ac:dyDescent="0.3">
      <c r="A164" s="170" t="s">
        <v>1146</v>
      </c>
      <c r="B164" s="245" t="s">
        <v>1477</v>
      </c>
      <c r="C164" s="171">
        <v>4.55</v>
      </c>
      <c r="D164" s="235"/>
      <c r="E164" s="240" t="str">
        <f t="shared" si="8"/>
        <v>07-13 Refresco en lata       1*24 Und.</v>
      </c>
      <c r="F164" s="241">
        <f t="shared" si="9"/>
        <v>4.55</v>
      </c>
      <c r="G164" s="235"/>
    </row>
    <row r="165" spans="1:7" ht="15.75" x14ac:dyDescent="0.3">
      <c r="A165" s="170" t="s">
        <v>1147</v>
      </c>
      <c r="B165" s="245" t="s">
        <v>1478</v>
      </c>
      <c r="C165" s="169">
        <v>7.59</v>
      </c>
      <c r="D165" s="235"/>
      <c r="E165" s="240" t="str">
        <f t="shared" si="8"/>
        <v>07-14 Malta          1*6*1,5 ltrs.</v>
      </c>
      <c r="F165" s="241">
        <f t="shared" si="9"/>
        <v>7.59</v>
      </c>
      <c r="G165" s="235"/>
    </row>
    <row r="166" spans="1:7" ht="15.75" x14ac:dyDescent="0.3">
      <c r="A166" s="170" t="s">
        <v>1148</v>
      </c>
      <c r="B166" s="245" t="s">
        <v>1299</v>
      </c>
      <c r="C166" s="169">
        <v>6.7033333333333331</v>
      </c>
      <c r="D166" s="235"/>
      <c r="E166" s="240" t="str">
        <f t="shared" si="8"/>
        <v>07-15 Jugo pasteurizado Variado L g   1*12*1ltrs.</v>
      </c>
      <c r="F166" s="241">
        <f t="shared" si="9"/>
        <v>6.7033333333333331</v>
      </c>
      <c r="G166" s="235"/>
    </row>
    <row r="167" spans="1:7" ht="15.75" x14ac:dyDescent="0.3">
      <c r="A167" s="170" t="s">
        <v>1149</v>
      </c>
      <c r="B167" s="245" t="s">
        <v>1300</v>
      </c>
      <c r="C167" s="169">
        <v>9.99</v>
      </c>
      <c r="D167" s="235"/>
      <c r="E167" s="240" t="str">
        <f t="shared" si="8"/>
        <v xml:space="preserve">07-16 Café Anzoategui empaque.         1*6*500 Gr. </v>
      </c>
      <c r="F167" s="241">
        <f t="shared" si="9"/>
        <v>9.99</v>
      </c>
      <c r="G167" s="235"/>
    </row>
    <row r="168" spans="1:7" ht="16.5" x14ac:dyDescent="0.3">
      <c r="A168" s="170" t="s">
        <v>1150</v>
      </c>
      <c r="B168" s="255" t="s">
        <v>1479</v>
      </c>
      <c r="C168" s="169">
        <v>36.04</v>
      </c>
      <c r="D168" s="235"/>
      <c r="E168" s="240" t="str">
        <f t="shared" si="8"/>
        <v>07-17 Colcafe Instantáneo.        1*12*170 Gr</v>
      </c>
      <c r="F168" s="241">
        <f t="shared" si="9"/>
        <v>36.04</v>
      </c>
      <c r="G168" s="235"/>
    </row>
    <row r="169" spans="1:7" ht="15.75" x14ac:dyDescent="0.3">
      <c r="A169" s="170" t="s">
        <v>1151</v>
      </c>
      <c r="B169" s="245" t="s">
        <v>1480</v>
      </c>
      <c r="C169" s="169">
        <v>31.7225</v>
      </c>
      <c r="D169" s="235"/>
      <c r="E169" s="240" t="str">
        <f t="shared" si="8"/>
        <v>07-18 Colcafe Capuchino.           1*12*270 Gr</v>
      </c>
      <c r="F169" s="241">
        <f t="shared" si="9"/>
        <v>31.7225</v>
      </c>
      <c r="G169" s="235"/>
    </row>
    <row r="170" spans="1:7" ht="15.75" x14ac:dyDescent="0.3">
      <c r="A170" s="170" t="s">
        <v>5</v>
      </c>
      <c r="B170" s="245" t="s">
        <v>1481</v>
      </c>
      <c r="C170" s="169">
        <v>40.71</v>
      </c>
      <c r="D170" s="235"/>
      <c r="E170" s="240" t="str">
        <f t="shared" si="8"/>
        <v>07-19 Nescafe instantaneo.         1*12*170 Gr.</v>
      </c>
      <c r="F170" s="241">
        <f t="shared" si="9"/>
        <v>40.71</v>
      </c>
      <c r="G170" s="235"/>
    </row>
    <row r="171" spans="1:7" ht="15.75" x14ac:dyDescent="0.3">
      <c r="A171" s="170" t="s">
        <v>6</v>
      </c>
      <c r="B171" s="245" t="s">
        <v>1301</v>
      </c>
      <c r="C171" s="169">
        <v>9.145999999999999</v>
      </c>
      <c r="D171" s="235"/>
      <c r="E171" s="240" t="str">
        <f t="shared" si="8"/>
        <v>07-20 Chocolate de taza Savoy.           1*5*125 Gr</v>
      </c>
      <c r="F171" s="241">
        <f t="shared" si="9"/>
        <v>9.145999999999999</v>
      </c>
      <c r="G171" s="235"/>
    </row>
    <row r="172" spans="1:7" ht="16.5" x14ac:dyDescent="0.3">
      <c r="A172" s="170" t="s">
        <v>7</v>
      </c>
      <c r="B172" s="245" t="s">
        <v>1482</v>
      </c>
      <c r="C172" s="243">
        <f>75.89/2000</f>
        <v>3.7945E-2</v>
      </c>
      <c r="D172" s="235"/>
      <c r="E172" s="240" t="str">
        <f t="shared" si="8"/>
        <v>07-21 Toddy bolsa         1*8*2 Kgr.</v>
      </c>
      <c r="F172" s="241">
        <f t="shared" si="9"/>
        <v>3.7945E-2</v>
      </c>
      <c r="G172" s="235"/>
    </row>
    <row r="173" spans="1:7" ht="15.75" x14ac:dyDescent="0.3">
      <c r="A173" s="170" t="s">
        <v>8</v>
      </c>
      <c r="B173" s="245" t="s">
        <v>1483</v>
      </c>
      <c r="C173" s="169">
        <v>49.11</v>
      </c>
      <c r="D173" s="235"/>
      <c r="E173" s="240" t="str">
        <f t="shared" si="8"/>
        <v>07-22 Te Manzanilla Lipton.         1*100 und.</v>
      </c>
      <c r="F173" s="241">
        <f t="shared" si="9"/>
        <v>49.11</v>
      </c>
      <c r="G173" s="235"/>
    </row>
    <row r="174" spans="1:7" ht="15.75" x14ac:dyDescent="0.3">
      <c r="A174" s="170" t="s">
        <v>1274</v>
      </c>
      <c r="B174" s="245" t="s">
        <v>1484</v>
      </c>
      <c r="C174" s="169">
        <v>6.7</v>
      </c>
      <c r="D174" s="235"/>
      <c r="E174" s="240" t="str">
        <f t="shared" si="8"/>
        <v>07-23 Tilo Mc Cormick.         1*100 und.</v>
      </c>
      <c r="F174" s="241">
        <f t="shared" si="9"/>
        <v>6.7</v>
      </c>
      <c r="G174" s="235"/>
    </row>
    <row r="175" spans="1:7" ht="15.75" x14ac:dyDescent="0.3">
      <c r="A175" s="170" t="s">
        <v>1275</v>
      </c>
      <c r="B175" s="245" t="s">
        <v>1485</v>
      </c>
      <c r="C175" s="169">
        <v>56.6</v>
      </c>
      <c r="D175" s="235"/>
      <c r="E175" s="240" t="str">
        <f t="shared" si="8"/>
        <v>07-24 Te lipton.         1*100 und.</v>
      </c>
      <c r="F175" s="241">
        <f t="shared" si="9"/>
        <v>56.6</v>
      </c>
      <c r="G175" s="235"/>
    </row>
    <row r="176" spans="1:7" ht="15.75" x14ac:dyDescent="0.3">
      <c r="A176" s="170" t="s">
        <v>1152</v>
      </c>
      <c r="B176" s="248" t="s">
        <v>1486</v>
      </c>
      <c r="C176" s="171">
        <f>18/1000</f>
        <v>1.7999999999999999E-2</v>
      </c>
      <c r="D176" s="235"/>
      <c r="E176" s="240" t="str">
        <f t="shared" si="8"/>
        <v>08-01 Acelgas.        kgr.</v>
      </c>
      <c r="F176" s="241">
        <f t="shared" si="9"/>
        <v>1.7999999999999999E-2</v>
      </c>
      <c r="G176" s="235"/>
    </row>
    <row r="177" spans="1:7" ht="15.75" x14ac:dyDescent="0.3">
      <c r="A177" s="170" t="s">
        <v>1153</v>
      </c>
      <c r="B177" s="248" t="s">
        <v>1487</v>
      </c>
      <c r="C177" s="171">
        <f>15.76/1000</f>
        <v>1.576E-2</v>
      </c>
      <c r="D177" s="235"/>
      <c r="E177" s="240" t="str">
        <f t="shared" si="8"/>
        <v>08-02 Aguacates.         kgr.</v>
      </c>
      <c r="F177" s="241">
        <f t="shared" si="9"/>
        <v>1.576E-2</v>
      </c>
      <c r="G177" s="235"/>
    </row>
    <row r="178" spans="1:7" ht="15.75" x14ac:dyDescent="0.3">
      <c r="A178" s="170" t="s">
        <v>1154</v>
      </c>
      <c r="B178" s="248" t="s">
        <v>1488</v>
      </c>
      <c r="C178" s="171">
        <f>15/1000</f>
        <v>1.4999999999999999E-2</v>
      </c>
      <c r="D178" s="235"/>
      <c r="E178" s="240" t="str">
        <f t="shared" si="8"/>
        <v>08-03 Aji dulce.        kgr.</v>
      </c>
      <c r="F178" s="241">
        <f t="shared" si="9"/>
        <v>1.4999999999999999E-2</v>
      </c>
      <c r="G178" s="235"/>
    </row>
    <row r="179" spans="1:7" ht="15.75" x14ac:dyDescent="0.3">
      <c r="A179" s="170" t="s">
        <v>1155</v>
      </c>
      <c r="B179" s="248" t="s">
        <v>1489</v>
      </c>
      <c r="C179" s="171">
        <f>15/1000</f>
        <v>1.4999999999999999E-2</v>
      </c>
      <c r="D179" s="235"/>
      <c r="E179" s="240" t="str">
        <f t="shared" si="8"/>
        <v>08-04 Ajo porro.         kgr.</v>
      </c>
      <c r="F179" s="241">
        <f t="shared" si="9"/>
        <v>1.4999999999999999E-2</v>
      </c>
      <c r="G179" s="235"/>
    </row>
    <row r="180" spans="1:7" ht="15.75" x14ac:dyDescent="0.3">
      <c r="A180" s="170" t="s">
        <v>1156</v>
      </c>
      <c r="B180" s="248" t="s">
        <v>1490</v>
      </c>
      <c r="C180" s="171">
        <f>125/1000</f>
        <v>0.125</v>
      </c>
      <c r="D180" s="235"/>
      <c r="E180" s="240" t="str">
        <f t="shared" si="8"/>
        <v>08-05 Ajo importado      kgr.</v>
      </c>
      <c r="F180" s="241">
        <f t="shared" si="9"/>
        <v>0.125</v>
      </c>
      <c r="G180" s="235"/>
    </row>
    <row r="181" spans="1:7" ht="15.75" x14ac:dyDescent="0.3">
      <c r="A181" s="170" t="s">
        <v>1157</v>
      </c>
      <c r="B181" s="248" t="s">
        <v>1491</v>
      </c>
      <c r="C181" s="171">
        <f>13/1000</f>
        <v>1.2999999999999999E-2</v>
      </c>
      <c r="D181" s="235"/>
      <c r="E181" s="240" t="str">
        <f t="shared" si="8"/>
        <v>08-06 Albahaca.        kgr.</v>
      </c>
      <c r="F181" s="241">
        <f t="shared" si="9"/>
        <v>1.2999999999999999E-2</v>
      </c>
      <c r="G181" s="235"/>
    </row>
    <row r="182" spans="1:7" ht="15.75" x14ac:dyDescent="0.3">
      <c r="A182" s="170" t="s">
        <v>1158</v>
      </c>
      <c r="B182" s="248" t="s">
        <v>1492</v>
      </c>
      <c r="C182" s="171">
        <f>20/1000</f>
        <v>0.02</v>
      </c>
      <c r="D182" s="235"/>
      <c r="E182" s="240" t="str">
        <f t="shared" si="8"/>
        <v>08-07 Apio criollo.        kgr.</v>
      </c>
      <c r="F182" s="241">
        <f t="shared" si="9"/>
        <v>0.02</v>
      </c>
      <c r="G182" s="235"/>
    </row>
    <row r="183" spans="1:7" ht="15.75" x14ac:dyDescent="0.3">
      <c r="A183" s="170" t="s">
        <v>1159</v>
      </c>
      <c r="B183" s="248" t="s">
        <v>1493</v>
      </c>
      <c r="C183" s="171">
        <f>6/1000</f>
        <v>6.0000000000000001E-3</v>
      </c>
      <c r="D183" s="235"/>
      <c r="E183" s="240" t="str">
        <f t="shared" si="8"/>
        <v>08-08 Auyama.        kgr.</v>
      </c>
      <c r="F183" s="241">
        <f t="shared" si="9"/>
        <v>6.0000000000000001E-3</v>
      </c>
      <c r="G183" s="235"/>
    </row>
    <row r="184" spans="1:7" ht="15.75" x14ac:dyDescent="0.3">
      <c r="A184" s="170" t="s">
        <v>1160</v>
      </c>
      <c r="B184" s="248" t="s">
        <v>1494</v>
      </c>
      <c r="C184" s="171">
        <f>8/1000</f>
        <v>8.0000000000000002E-3</v>
      </c>
      <c r="D184" s="235"/>
      <c r="E184" s="240" t="str">
        <f t="shared" si="8"/>
        <v>08-09 Batata.           kgr.</v>
      </c>
      <c r="F184" s="241">
        <f t="shared" si="9"/>
        <v>8.0000000000000002E-3</v>
      </c>
      <c r="G184" s="235"/>
    </row>
    <row r="185" spans="1:7" ht="15.75" x14ac:dyDescent="0.3">
      <c r="A185" s="170" t="s">
        <v>1161</v>
      </c>
      <c r="B185" s="245" t="s">
        <v>1495</v>
      </c>
      <c r="C185" s="171">
        <f>5/1000</f>
        <v>5.0000000000000001E-3</v>
      </c>
      <c r="D185" s="235"/>
      <c r="E185" s="240" t="str">
        <f t="shared" si="8"/>
        <v>08-10 Berengena.         kgr.</v>
      </c>
      <c r="F185" s="241">
        <f t="shared" si="9"/>
        <v>5.0000000000000001E-3</v>
      </c>
      <c r="G185" s="235"/>
    </row>
    <row r="186" spans="1:7" ht="15.75" x14ac:dyDescent="0.3">
      <c r="A186" s="170" t="s">
        <v>1162</v>
      </c>
      <c r="B186" s="245" t="s">
        <v>1496</v>
      </c>
      <c r="C186" s="171">
        <f>10/1000</f>
        <v>0.01</v>
      </c>
      <c r="D186" s="235"/>
      <c r="E186" s="240" t="str">
        <f t="shared" si="8"/>
        <v>08-11 Brocoli.       kgr.</v>
      </c>
      <c r="F186" s="241">
        <f t="shared" si="9"/>
        <v>0.01</v>
      </c>
      <c r="G186" s="235"/>
    </row>
    <row r="187" spans="1:7" ht="15.75" x14ac:dyDescent="0.3">
      <c r="A187" s="170" t="s">
        <v>1163</v>
      </c>
      <c r="B187" s="245" t="s">
        <v>1497</v>
      </c>
      <c r="C187" s="171">
        <f>11.5/1000</f>
        <v>1.15E-2</v>
      </c>
      <c r="D187" s="235"/>
      <c r="E187" s="240" t="str">
        <f t="shared" si="8"/>
        <v>08-12 Brotes de lentejas.         500 grs.</v>
      </c>
      <c r="F187" s="241">
        <f t="shared" si="9"/>
        <v>1.15E-2</v>
      </c>
      <c r="G187" s="235"/>
    </row>
    <row r="188" spans="1:7" ht="15.75" x14ac:dyDescent="0.3">
      <c r="A188" s="170" t="s">
        <v>1164</v>
      </c>
      <c r="B188" s="245" t="s">
        <v>1498</v>
      </c>
      <c r="C188" s="171">
        <f>8/1000</f>
        <v>8.0000000000000002E-3</v>
      </c>
      <c r="D188" s="235"/>
      <c r="E188" s="240" t="str">
        <f t="shared" si="8"/>
        <v>08-13 Calabacin.            kgr.</v>
      </c>
      <c r="F188" s="241">
        <f t="shared" si="9"/>
        <v>8.0000000000000002E-3</v>
      </c>
      <c r="G188" s="235"/>
    </row>
    <row r="189" spans="1:7" ht="15.75" x14ac:dyDescent="0.3">
      <c r="A189" s="170" t="s">
        <v>1165</v>
      </c>
      <c r="B189" s="245" t="s">
        <v>1499</v>
      </c>
      <c r="C189" s="171">
        <f>6/1000</f>
        <v>6.0000000000000001E-3</v>
      </c>
      <c r="D189" s="235"/>
      <c r="E189" s="240" t="str">
        <f t="shared" si="8"/>
        <v>08-14 Cambur.          kgr.</v>
      </c>
      <c r="F189" s="241">
        <f t="shared" si="9"/>
        <v>6.0000000000000001E-3</v>
      </c>
      <c r="G189" s="235"/>
    </row>
    <row r="190" spans="1:7" ht="15.75" x14ac:dyDescent="0.3">
      <c r="A190" s="170" t="s">
        <v>1166</v>
      </c>
      <c r="B190" s="245" t="s">
        <v>1500</v>
      </c>
      <c r="C190" s="171">
        <f>12/1000</f>
        <v>1.2E-2</v>
      </c>
      <c r="D190" s="235"/>
      <c r="E190" s="240" t="str">
        <f t="shared" si="8"/>
        <v>08-15 Cebolla morada.        kgr.</v>
      </c>
      <c r="F190" s="241">
        <f t="shared" si="9"/>
        <v>1.2E-2</v>
      </c>
      <c r="G190" s="235"/>
    </row>
    <row r="191" spans="1:7" ht="15.75" x14ac:dyDescent="0.3">
      <c r="A191" s="170" t="s">
        <v>1167</v>
      </c>
      <c r="B191" s="245" t="s">
        <v>1501</v>
      </c>
      <c r="C191" s="171">
        <f>15/1000</f>
        <v>1.4999999999999999E-2</v>
      </c>
      <c r="D191" s="235"/>
      <c r="E191" s="240" t="str">
        <f t="shared" si="8"/>
        <v>08-16 Cebolla.      kgr.</v>
      </c>
      <c r="F191" s="241">
        <f t="shared" si="9"/>
        <v>1.4999999999999999E-2</v>
      </c>
      <c r="G191" s="235"/>
    </row>
    <row r="192" spans="1:7" ht="15.75" x14ac:dyDescent="0.3">
      <c r="A192" s="170" t="s">
        <v>1168</v>
      </c>
      <c r="B192" s="245" t="s">
        <v>1502</v>
      </c>
      <c r="C192" s="171">
        <f>15/1000</f>
        <v>1.4999999999999999E-2</v>
      </c>
      <c r="D192" s="235"/>
      <c r="E192" s="240" t="str">
        <f t="shared" si="8"/>
        <v>08-17 Cebollin.    kgr.</v>
      </c>
      <c r="F192" s="241">
        <f t="shared" si="9"/>
        <v>1.4999999999999999E-2</v>
      </c>
      <c r="G192" s="235"/>
    </row>
    <row r="193" spans="1:7" ht="15.75" x14ac:dyDescent="0.3">
      <c r="A193" s="170" t="s">
        <v>1169</v>
      </c>
      <c r="B193" s="245" t="s">
        <v>1503</v>
      </c>
      <c r="C193" s="171">
        <f>15/1000</f>
        <v>1.4999999999999999E-2</v>
      </c>
      <c r="D193" s="235"/>
      <c r="E193" s="240" t="str">
        <f t="shared" si="8"/>
        <v>08-18 Celery.      kgr.</v>
      </c>
      <c r="F193" s="241">
        <f t="shared" si="9"/>
        <v>1.4999999999999999E-2</v>
      </c>
      <c r="G193" s="235"/>
    </row>
    <row r="194" spans="1:7" ht="15.75" x14ac:dyDescent="0.3">
      <c r="A194" s="170" t="s">
        <v>1170</v>
      </c>
      <c r="B194" s="245" t="s">
        <v>1504</v>
      </c>
      <c r="C194" s="171">
        <f>9.77/1000</f>
        <v>9.7699999999999992E-3</v>
      </c>
      <c r="D194" s="235"/>
      <c r="E194" s="240" t="str">
        <f t="shared" si="8"/>
        <v>08-19 Chayota       kgr.</v>
      </c>
      <c r="F194" s="241">
        <f t="shared" si="9"/>
        <v>9.7699999999999992E-3</v>
      </c>
      <c r="G194" s="235"/>
    </row>
    <row r="195" spans="1:7" ht="15.75" x14ac:dyDescent="0.3">
      <c r="A195" s="170" t="s">
        <v>1171</v>
      </c>
      <c r="B195" s="245" t="s">
        <v>1505</v>
      </c>
      <c r="C195" s="171">
        <f>15/1000</f>
        <v>1.4999999999999999E-2</v>
      </c>
      <c r="D195" s="235"/>
      <c r="E195" s="240" t="str">
        <f t="shared" si="8"/>
        <v>08-20 Cilantro.    kgr.</v>
      </c>
      <c r="F195" s="241">
        <f t="shared" si="9"/>
        <v>1.4999999999999999E-2</v>
      </c>
      <c r="G195" s="235"/>
    </row>
    <row r="196" spans="1:7" ht="15.75" x14ac:dyDescent="0.3">
      <c r="A196" s="170" t="s">
        <v>1172</v>
      </c>
      <c r="B196" s="256" t="s">
        <v>1506</v>
      </c>
      <c r="C196" s="257">
        <f>50/1000</f>
        <v>0.05</v>
      </c>
      <c r="D196" s="235"/>
      <c r="E196" s="240" t="str">
        <f t="shared" ref="E196:E259" si="10">A196&amp;" "&amp;B196</f>
        <v>08-21 Ciruelas importadas.       1*10 kgr</v>
      </c>
      <c r="F196" s="241">
        <f t="shared" ref="F196:F259" si="11">C196</f>
        <v>0.05</v>
      </c>
      <c r="G196" s="235"/>
    </row>
    <row r="197" spans="1:7" ht="15.75" x14ac:dyDescent="0.3">
      <c r="A197" s="170" t="s">
        <v>1173</v>
      </c>
      <c r="B197" s="245" t="s">
        <v>1507</v>
      </c>
      <c r="C197" s="171">
        <f>5.51/1000</f>
        <v>5.5100000000000001E-3</v>
      </c>
      <c r="D197" s="235"/>
      <c r="E197" s="240" t="str">
        <f t="shared" si="10"/>
        <v>08-22 Coco.      Und.</v>
      </c>
      <c r="F197" s="241">
        <f t="shared" si="11"/>
        <v>5.5100000000000001E-3</v>
      </c>
      <c r="G197" s="235"/>
    </row>
    <row r="198" spans="1:7" ht="15.75" x14ac:dyDescent="0.3">
      <c r="A198" s="170" t="s">
        <v>1174</v>
      </c>
      <c r="B198" s="245" t="s">
        <v>1508</v>
      </c>
      <c r="C198" s="171">
        <f>10/1000</f>
        <v>0.01</v>
      </c>
      <c r="D198" s="235"/>
      <c r="E198" s="240" t="str">
        <f t="shared" si="10"/>
        <v>08-23 Coliflor.         kgr.</v>
      </c>
      <c r="F198" s="241">
        <f t="shared" si="11"/>
        <v>0.01</v>
      </c>
      <c r="G198" s="235"/>
    </row>
    <row r="199" spans="1:7" ht="15.75" x14ac:dyDescent="0.3">
      <c r="A199" s="170" t="s">
        <v>1175</v>
      </c>
      <c r="B199" s="245" t="s">
        <v>1509</v>
      </c>
      <c r="C199" s="171">
        <f>20/1000</f>
        <v>0.02</v>
      </c>
      <c r="D199" s="235"/>
      <c r="E199" s="240" t="str">
        <f t="shared" si="10"/>
        <v>08-24 Durazno.      kgr.</v>
      </c>
      <c r="F199" s="241">
        <f t="shared" si="11"/>
        <v>0.02</v>
      </c>
      <c r="G199" s="235"/>
    </row>
    <row r="200" spans="1:7" ht="15.75" x14ac:dyDescent="0.3">
      <c r="A200" s="170" t="s">
        <v>1176</v>
      </c>
      <c r="B200" s="245" t="s">
        <v>1510</v>
      </c>
      <c r="C200" s="171">
        <f>14/1000</f>
        <v>1.4E-2</v>
      </c>
      <c r="D200" s="235"/>
      <c r="E200" s="240" t="str">
        <f t="shared" si="10"/>
        <v>08-25 Espinacas.       kgr.</v>
      </c>
      <c r="F200" s="241">
        <f t="shared" si="11"/>
        <v>1.4E-2</v>
      </c>
      <c r="G200" s="235"/>
    </row>
    <row r="201" spans="1:7" ht="15.75" x14ac:dyDescent="0.3">
      <c r="A201" s="170" t="s">
        <v>1177</v>
      </c>
      <c r="B201" s="245" t="s">
        <v>1306</v>
      </c>
      <c r="C201" s="171">
        <f>23.97/1000</f>
        <v>2.3969999999999998E-2</v>
      </c>
      <c r="D201" s="235"/>
      <c r="E201" s="240" t="str">
        <f t="shared" si="10"/>
        <v>08-26 Fresas congeladas empaque.    2 kgr.</v>
      </c>
      <c r="F201" s="241">
        <f t="shared" si="11"/>
        <v>2.3969999999999998E-2</v>
      </c>
      <c r="G201" s="235"/>
    </row>
    <row r="202" spans="1:7" ht="15.75" x14ac:dyDescent="0.3">
      <c r="A202" s="170" t="s">
        <v>1178</v>
      </c>
      <c r="B202" s="245" t="s">
        <v>1511</v>
      </c>
      <c r="C202" s="171">
        <f>17.27/1000</f>
        <v>1.7270000000000001E-2</v>
      </c>
      <c r="D202" s="235"/>
      <c r="E202" s="240" t="str">
        <f t="shared" si="10"/>
        <v>08-27 Guanabana      kgr.</v>
      </c>
      <c r="F202" s="241">
        <f t="shared" si="11"/>
        <v>1.7270000000000001E-2</v>
      </c>
      <c r="G202" s="235"/>
    </row>
    <row r="203" spans="1:7" ht="15.75" x14ac:dyDescent="0.3">
      <c r="A203" s="170" t="s">
        <v>1179</v>
      </c>
      <c r="B203" s="245" t="s">
        <v>1512</v>
      </c>
      <c r="C203" s="171">
        <f>5/1000</f>
        <v>5.0000000000000001E-3</v>
      </c>
      <c r="D203" s="235"/>
      <c r="E203" s="240" t="str">
        <f t="shared" si="10"/>
        <v>08-28 Guayaba.       kgr.</v>
      </c>
      <c r="F203" s="241">
        <f t="shared" si="11"/>
        <v>5.0000000000000001E-3</v>
      </c>
      <c r="G203" s="235"/>
    </row>
    <row r="204" spans="1:7" ht="15.75" x14ac:dyDescent="0.3">
      <c r="A204" s="170" t="s">
        <v>1180</v>
      </c>
      <c r="B204" s="245" t="s">
        <v>1513</v>
      </c>
      <c r="C204" s="171">
        <f>15/1000</f>
        <v>1.4999999999999999E-2</v>
      </c>
      <c r="D204" s="235"/>
      <c r="E204" s="240" t="str">
        <f t="shared" si="10"/>
        <v>08-29 Guisantes Congelados       Caja de 13,64 kg.</v>
      </c>
      <c r="F204" s="241">
        <f t="shared" si="11"/>
        <v>1.4999999999999999E-2</v>
      </c>
      <c r="G204" s="235"/>
    </row>
    <row r="205" spans="1:7" ht="15.75" x14ac:dyDescent="0.3">
      <c r="A205" s="170" t="s">
        <v>1181</v>
      </c>
      <c r="B205" s="245" t="s">
        <v>1514</v>
      </c>
      <c r="C205" s="171">
        <f>13.25/1000</f>
        <v>1.325E-2</v>
      </c>
      <c r="D205" s="235"/>
      <c r="E205" s="240" t="str">
        <f t="shared" si="10"/>
        <v>08-30 Jojoto.           kgr.</v>
      </c>
      <c r="F205" s="241">
        <f t="shared" si="11"/>
        <v>1.325E-2</v>
      </c>
      <c r="G205" s="235"/>
    </row>
    <row r="206" spans="1:7" ht="15.75" x14ac:dyDescent="0.3">
      <c r="A206" s="170" t="s">
        <v>1182</v>
      </c>
      <c r="B206" s="245" t="s">
        <v>1515</v>
      </c>
      <c r="C206" s="171">
        <f>2/1000</f>
        <v>2E-3</v>
      </c>
      <c r="D206" s="235"/>
      <c r="E206" s="240" t="str">
        <f t="shared" si="10"/>
        <v>08-31 Lechosa.          kgr.</v>
      </c>
      <c r="F206" s="241">
        <f t="shared" si="11"/>
        <v>2E-3</v>
      </c>
      <c r="G206" s="235"/>
    </row>
    <row r="207" spans="1:7" ht="15.75" x14ac:dyDescent="0.3">
      <c r="A207" s="170" t="s">
        <v>1183</v>
      </c>
      <c r="B207" s="245" t="s">
        <v>1516</v>
      </c>
      <c r="C207" s="169">
        <f>8/1000</f>
        <v>8.0000000000000002E-3</v>
      </c>
      <c r="D207" s="235"/>
      <c r="E207" s="240" t="str">
        <f t="shared" si="10"/>
        <v>08-32 Lechuga.          kgr.</v>
      </c>
      <c r="F207" s="241">
        <f t="shared" si="11"/>
        <v>8.0000000000000002E-3</v>
      </c>
      <c r="G207" s="235"/>
    </row>
    <row r="208" spans="1:7" ht="15.75" x14ac:dyDescent="0.3">
      <c r="A208" s="170" t="s">
        <v>1184</v>
      </c>
      <c r="B208" s="245" t="s">
        <v>1517</v>
      </c>
      <c r="C208" s="169">
        <f>15/1000</f>
        <v>1.4999999999999999E-2</v>
      </c>
      <c r="D208" s="235"/>
      <c r="E208" s="240" t="str">
        <f t="shared" si="10"/>
        <v>08-33 Limon.         kgr.</v>
      </c>
      <c r="F208" s="241">
        <f t="shared" si="11"/>
        <v>1.4999999999999999E-2</v>
      </c>
      <c r="G208" s="235"/>
    </row>
    <row r="209" spans="1:7" ht="15.75" x14ac:dyDescent="0.3">
      <c r="A209" s="170" t="s">
        <v>1185</v>
      </c>
      <c r="B209" s="245" t="s">
        <v>1518</v>
      </c>
      <c r="C209" s="169">
        <f>8/1000</f>
        <v>8.0000000000000002E-3</v>
      </c>
      <c r="D209" s="235"/>
      <c r="E209" s="240" t="str">
        <f t="shared" si="10"/>
        <v>08-34 Mandarina.        kgr.</v>
      </c>
      <c r="F209" s="241">
        <f t="shared" si="11"/>
        <v>8.0000000000000002E-3</v>
      </c>
      <c r="G209" s="235"/>
    </row>
    <row r="210" spans="1:7" ht="15.75" x14ac:dyDescent="0.3">
      <c r="A210" s="170" t="s">
        <v>1186</v>
      </c>
      <c r="B210" s="258" t="s">
        <v>1519</v>
      </c>
      <c r="C210" s="169">
        <f>11.66/1000</f>
        <v>1.166E-2</v>
      </c>
      <c r="D210" s="235"/>
      <c r="E210" s="240" t="str">
        <f t="shared" si="10"/>
        <v>08-35 Mango.      kgr.</v>
      </c>
      <c r="F210" s="241">
        <f t="shared" si="11"/>
        <v>1.166E-2</v>
      </c>
      <c r="G210" s="235"/>
    </row>
    <row r="211" spans="1:7" ht="15.75" x14ac:dyDescent="0.3">
      <c r="A211" s="170" t="s">
        <v>1187</v>
      </c>
      <c r="B211" s="259" t="s">
        <v>1307</v>
      </c>
      <c r="C211" s="169">
        <f>8.33</f>
        <v>8.33</v>
      </c>
      <c r="D211" s="235"/>
      <c r="E211" s="240" t="str">
        <f t="shared" si="10"/>
        <v xml:space="preserve">08-36 Manzanas. Rojas. CAJA            Caja 90 und.  </v>
      </c>
      <c r="F211" s="241">
        <f t="shared" si="11"/>
        <v>8.33</v>
      </c>
      <c r="G211" s="235"/>
    </row>
    <row r="212" spans="1:7" ht="15.75" x14ac:dyDescent="0.3">
      <c r="A212" s="170" t="s">
        <v>1188</v>
      </c>
      <c r="B212" s="238" t="s">
        <v>1520</v>
      </c>
      <c r="C212" s="169">
        <f>4.5</f>
        <v>4.5</v>
      </c>
      <c r="D212" s="235"/>
      <c r="E212" s="240" t="str">
        <f t="shared" si="10"/>
        <v xml:space="preserve">08-37 Manzanas verdes         Caja 90 und.  </v>
      </c>
      <c r="F212" s="241">
        <f t="shared" si="11"/>
        <v>4.5</v>
      </c>
      <c r="G212" s="235"/>
    </row>
    <row r="213" spans="1:7" ht="15.75" x14ac:dyDescent="0.3">
      <c r="A213" s="170" t="s">
        <v>1189</v>
      </c>
      <c r="B213" s="245" t="s">
        <v>1521</v>
      </c>
      <c r="C213" s="169">
        <f>7/1000</f>
        <v>7.0000000000000001E-3</v>
      </c>
      <c r="D213" s="235"/>
      <c r="E213" s="240" t="str">
        <f t="shared" si="10"/>
        <v>08-38 Melon.           kgr.</v>
      </c>
      <c r="F213" s="241">
        <f t="shared" si="11"/>
        <v>7.0000000000000001E-3</v>
      </c>
      <c r="G213" s="235"/>
    </row>
    <row r="214" spans="1:7" ht="15.75" x14ac:dyDescent="0.3">
      <c r="A214" s="170" t="s">
        <v>1190</v>
      </c>
      <c r="B214" s="245" t="s">
        <v>1522</v>
      </c>
      <c r="C214" s="169">
        <f>15/1000</f>
        <v>1.4999999999999999E-2</v>
      </c>
      <c r="D214" s="235"/>
      <c r="E214" s="240" t="str">
        <f t="shared" si="10"/>
        <v>08-39 Nabo.             kgr.</v>
      </c>
      <c r="F214" s="241">
        <f t="shared" si="11"/>
        <v>1.4999999999999999E-2</v>
      </c>
      <c r="G214" s="235"/>
    </row>
    <row r="215" spans="1:7" ht="15.75" x14ac:dyDescent="0.3">
      <c r="A215" s="170" t="s">
        <v>1191</v>
      </c>
      <c r="B215" s="245" t="s">
        <v>1523</v>
      </c>
      <c r="C215" s="260">
        <v>1</v>
      </c>
      <c r="D215" s="235"/>
      <c r="E215" s="240" t="str">
        <f t="shared" si="10"/>
        <v>08-40 Naranjas en sacos.          1*200 Und</v>
      </c>
      <c r="F215" s="241">
        <f t="shared" si="11"/>
        <v>1</v>
      </c>
      <c r="G215" s="235"/>
    </row>
    <row r="216" spans="1:7" ht="16.5" x14ac:dyDescent="0.3">
      <c r="A216" s="170" t="s">
        <v>1192</v>
      </c>
      <c r="B216" s="245" t="s">
        <v>1524</v>
      </c>
      <c r="C216" s="243">
        <f>10/1000</f>
        <v>0.01</v>
      </c>
      <c r="D216" s="235"/>
      <c r="E216" s="240" t="str">
        <f t="shared" si="10"/>
        <v>08-41 Ñame.         kgr.</v>
      </c>
      <c r="F216" s="241">
        <f t="shared" si="11"/>
        <v>0.01</v>
      </c>
      <c r="G216" s="235"/>
    </row>
    <row r="217" spans="1:7" ht="16.5" x14ac:dyDescent="0.3">
      <c r="A217" s="170" t="s">
        <v>1193</v>
      </c>
      <c r="B217" s="256" t="s">
        <v>1525</v>
      </c>
      <c r="C217" s="243">
        <f t="shared" ref="C217:C218" si="12">10/1000</f>
        <v>0.01</v>
      </c>
      <c r="D217" s="235"/>
      <c r="E217" s="240" t="str">
        <f t="shared" si="10"/>
        <v>08-42 Ocumo blanco.            kgr.</v>
      </c>
      <c r="F217" s="241">
        <f t="shared" si="11"/>
        <v>0.01</v>
      </c>
      <c r="G217" s="235"/>
    </row>
    <row r="218" spans="1:7" ht="16.5" x14ac:dyDescent="0.3">
      <c r="A218" s="170" t="s">
        <v>1194</v>
      </c>
      <c r="B218" s="245" t="s">
        <v>1526</v>
      </c>
      <c r="C218" s="243">
        <f t="shared" si="12"/>
        <v>0.01</v>
      </c>
      <c r="D218" s="235"/>
      <c r="E218" s="240" t="str">
        <f t="shared" si="10"/>
        <v>08-43 Ocumo chino.         kgr.</v>
      </c>
      <c r="F218" s="241">
        <f t="shared" si="11"/>
        <v>0.01</v>
      </c>
      <c r="G218" s="235"/>
    </row>
    <row r="219" spans="1:7" ht="16.5" x14ac:dyDescent="0.3">
      <c r="A219" s="170" t="s">
        <v>1195</v>
      </c>
      <c r="B219" s="245" t="s">
        <v>1527</v>
      </c>
      <c r="C219" s="243">
        <f>8/1000</f>
        <v>8.0000000000000002E-3</v>
      </c>
      <c r="D219" s="235"/>
      <c r="E219" s="240" t="str">
        <f t="shared" si="10"/>
        <v>08-44 Papa.       kgr.</v>
      </c>
      <c r="F219" s="241">
        <f t="shared" si="11"/>
        <v>8.0000000000000002E-3</v>
      </c>
      <c r="G219" s="235"/>
    </row>
    <row r="220" spans="1:7" ht="16.5" x14ac:dyDescent="0.3">
      <c r="A220" s="170" t="s">
        <v>1196</v>
      </c>
      <c r="B220" s="245" t="s">
        <v>1528</v>
      </c>
      <c r="C220" s="243">
        <f>13.86/1000</f>
        <v>1.3859999999999999E-2</v>
      </c>
      <c r="D220" s="235"/>
      <c r="E220" s="240" t="str">
        <f t="shared" si="10"/>
        <v>08-45 Papas congeladas p/ freir.      1*10*1 kgr.</v>
      </c>
      <c r="F220" s="241">
        <f t="shared" si="11"/>
        <v>1.3859999999999999E-2</v>
      </c>
      <c r="G220" s="235"/>
    </row>
    <row r="221" spans="1:7" ht="16.5" x14ac:dyDescent="0.3">
      <c r="A221" s="170" t="s">
        <v>1197</v>
      </c>
      <c r="B221" s="245" t="s">
        <v>1529</v>
      </c>
      <c r="C221" s="243">
        <f>10/1000</f>
        <v>0.01</v>
      </c>
      <c r="D221" s="235"/>
      <c r="E221" s="240" t="str">
        <f t="shared" si="10"/>
        <v>08-46 Parchitas.        kgr.</v>
      </c>
      <c r="F221" s="241">
        <f t="shared" si="11"/>
        <v>0.01</v>
      </c>
      <c r="G221" s="235"/>
    </row>
    <row r="222" spans="1:7" ht="16.5" x14ac:dyDescent="0.3">
      <c r="A222" s="170" t="s">
        <v>1198</v>
      </c>
      <c r="B222" s="245" t="s">
        <v>1530</v>
      </c>
      <c r="C222" s="243">
        <f>4/1000</f>
        <v>4.0000000000000001E-3</v>
      </c>
      <c r="D222" s="235"/>
      <c r="E222" s="240" t="str">
        <f t="shared" si="10"/>
        <v>08-47 Patilla.        kgr.</v>
      </c>
      <c r="F222" s="241">
        <f t="shared" si="11"/>
        <v>4.0000000000000001E-3</v>
      </c>
      <c r="G222" s="235"/>
    </row>
    <row r="223" spans="1:7" ht="16.5" x14ac:dyDescent="0.3">
      <c r="A223" s="170" t="s">
        <v>1199</v>
      </c>
      <c r="B223" s="245" t="s">
        <v>1531</v>
      </c>
      <c r="C223" s="243">
        <f>6/1000</f>
        <v>6.0000000000000001E-3</v>
      </c>
      <c r="D223" s="235"/>
      <c r="E223" s="240" t="str">
        <f t="shared" si="10"/>
        <v>08-48 Pepino.         kgr.</v>
      </c>
      <c r="F223" s="241">
        <f t="shared" si="11"/>
        <v>6.0000000000000001E-3</v>
      </c>
      <c r="G223" s="235"/>
    </row>
    <row r="224" spans="1:7" ht="16.5" x14ac:dyDescent="0.3">
      <c r="A224" s="170" t="s">
        <v>1200</v>
      </c>
      <c r="B224" s="245" t="s">
        <v>1532</v>
      </c>
      <c r="C224" s="243">
        <v>6.88</v>
      </c>
      <c r="D224" s="235"/>
      <c r="E224" s="240" t="str">
        <f t="shared" si="10"/>
        <v xml:space="preserve">08-49 Pera.        Caja 90 und.  </v>
      </c>
      <c r="F224" s="241">
        <f t="shared" si="11"/>
        <v>6.88</v>
      </c>
      <c r="G224" s="235"/>
    </row>
    <row r="225" spans="1:7" ht="16.5" x14ac:dyDescent="0.3">
      <c r="A225" s="170" t="s">
        <v>1201</v>
      </c>
      <c r="B225" s="245" t="s">
        <v>1533</v>
      </c>
      <c r="C225" s="243">
        <f>15/1000</f>
        <v>1.4999999999999999E-2</v>
      </c>
      <c r="D225" s="235"/>
      <c r="E225" s="240" t="str">
        <f t="shared" si="10"/>
        <v>08-50 Perejil.         kgr.</v>
      </c>
      <c r="F225" s="241">
        <f t="shared" si="11"/>
        <v>1.4999999999999999E-2</v>
      </c>
      <c r="G225" s="235"/>
    </row>
    <row r="226" spans="1:7" ht="16.5" x14ac:dyDescent="0.3">
      <c r="A226" s="170" t="s">
        <v>1202</v>
      </c>
      <c r="B226" s="245" t="s">
        <v>1534</v>
      </c>
      <c r="C226" s="243">
        <f t="shared" ref="C226" si="13">15/1000</f>
        <v>1.4999999999999999E-2</v>
      </c>
      <c r="D226" s="235"/>
      <c r="E226" s="240" t="str">
        <f t="shared" si="10"/>
        <v>08-51 Pimenton.         kgr.</v>
      </c>
      <c r="F226" s="241">
        <f t="shared" si="11"/>
        <v>1.4999999999999999E-2</v>
      </c>
      <c r="G226" s="235"/>
    </row>
    <row r="227" spans="1:7" ht="16.5" x14ac:dyDescent="0.3">
      <c r="A227" s="170" t="s">
        <v>1203</v>
      </c>
      <c r="B227" s="245" t="s">
        <v>1535</v>
      </c>
      <c r="C227" s="243">
        <f>18</f>
        <v>18</v>
      </c>
      <c r="D227" s="235"/>
      <c r="E227" s="240" t="str">
        <f t="shared" si="10"/>
        <v>08-52 Piña.        kgr.</v>
      </c>
      <c r="F227" s="241">
        <f t="shared" si="11"/>
        <v>18</v>
      </c>
      <c r="G227" s="235"/>
    </row>
    <row r="228" spans="1:7" ht="16.5" x14ac:dyDescent="0.3">
      <c r="A228" s="170" t="s">
        <v>1204</v>
      </c>
      <c r="B228" s="245" t="s">
        <v>1536</v>
      </c>
      <c r="C228" s="243">
        <v>2.5</v>
      </c>
      <c r="D228" s="235"/>
      <c r="E228" s="240" t="str">
        <f t="shared" si="10"/>
        <v>08-53 Platanos.         Und.</v>
      </c>
      <c r="F228" s="241">
        <f t="shared" si="11"/>
        <v>2.5</v>
      </c>
      <c r="G228" s="235"/>
    </row>
    <row r="229" spans="1:7" ht="16.5" x14ac:dyDescent="0.3">
      <c r="A229" s="170" t="s">
        <v>1205</v>
      </c>
      <c r="B229" s="245" t="s">
        <v>1537</v>
      </c>
      <c r="C229" s="243">
        <v>18</v>
      </c>
      <c r="D229" s="235"/>
      <c r="E229" s="240" t="str">
        <f t="shared" si="10"/>
        <v>08-54 pulpa de frutas variadas         kgr.</v>
      </c>
      <c r="F229" s="241">
        <f t="shared" si="11"/>
        <v>18</v>
      </c>
      <c r="G229" s="235"/>
    </row>
    <row r="230" spans="1:7" ht="16.5" x14ac:dyDescent="0.3">
      <c r="A230" s="170" t="s">
        <v>1206</v>
      </c>
      <c r="B230" s="248" t="s">
        <v>1538</v>
      </c>
      <c r="C230" s="261">
        <f>14/1000</f>
        <v>1.4E-2</v>
      </c>
      <c r="D230" s="235"/>
      <c r="E230" s="240" t="str">
        <f t="shared" si="10"/>
        <v>08-55 Remolachas.          kgr.</v>
      </c>
      <c r="F230" s="241">
        <f t="shared" si="11"/>
        <v>1.4E-2</v>
      </c>
      <c r="G230" s="235"/>
    </row>
    <row r="231" spans="1:7" ht="16.5" x14ac:dyDescent="0.3">
      <c r="A231" s="170" t="s">
        <v>1207</v>
      </c>
      <c r="B231" s="248" t="s">
        <v>1539</v>
      </c>
      <c r="C231" s="243">
        <f>7/1000</f>
        <v>7.0000000000000001E-3</v>
      </c>
      <c r="D231" s="235"/>
      <c r="E231" s="240" t="str">
        <f t="shared" si="10"/>
        <v>08-56 Repollo blanco.        kgr.</v>
      </c>
      <c r="F231" s="241">
        <f t="shared" si="11"/>
        <v>7.0000000000000001E-3</v>
      </c>
      <c r="G231" s="235"/>
    </row>
    <row r="232" spans="1:7" ht="16.5" x14ac:dyDescent="0.3">
      <c r="A232" s="170" t="s">
        <v>1208</v>
      </c>
      <c r="B232" s="248" t="s">
        <v>1540</v>
      </c>
      <c r="C232" s="243">
        <f>15/1000</f>
        <v>1.4999999999999999E-2</v>
      </c>
      <c r="D232" s="235"/>
      <c r="E232" s="240" t="str">
        <f t="shared" si="10"/>
        <v>08-57 Repollo morado.            kgr.</v>
      </c>
      <c r="F232" s="241">
        <f t="shared" si="11"/>
        <v>1.4999999999999999E-2</v>
      </c>
      <c r="G232" s="235"/>
    </row>
    <row r="233" spans="1:7" ht="16.5" x14ac:dyDescent="0.3">
      <c r="A233" s="170" t="s">
        <v>1209</v>
      </c>
      <c r="B233" s="248" t="s">
        <v>1541</v>
      </c>
      <c r="C233" s="243">
        <f>10/1000</f>
        <v>0.01</v>
      </c>
      <c r="D233" s="235"/>
      <c r="E233" s="240" t="str">
        <f t="shared" si="10"/>
        <v>08-58 Tomates.       kgr.</v>
      </c>
      <c r="F233" s="241">
        <f t="shared" si="11"/>
        <v>0.01</v>
      </c>
      <c r="G233" s="235"/>
    </row>
    <row r="234" spans="1:7" ht="16.5" x14ac:dyDescent="0.3">
      <c r="A234" s="170" t="s">
        <v>1210</v>
      </c>
      <c r="B234" s="248" t="s">
        <v>1542</v>
      </c>
      <c r="C234" s="261">
        <f>60/1000</f>
        <v>0.06</v>
      </c>
      <c r="D234" s="235"/>
      <c r="E234" s="240" t="str">
        <f t="shared" si="10"/>
        <v>08-59 Uvas  Cajas.      1*10 kgr</v>
      </c>
      <c r="F234" s="241">
        <f t="shared" si="11"/>
        <v>0.06</v>
      </c>
      <c r="G234" s="235"/>
    </row>
    <row r="235" spans="1:7" ht="16.5" x14ac:dyDescent="0.3">
      <c r="A235" s="170" t="s">
        <v>1211</v>
      </c>
      <c r="B235" s="248" t="s">
        <v>1543</v>
      </c>
      <c r="C235" s="261">
        <f>16/1000</f>
        <v>1.6E-2</v>
      </c>
      <c r="D235" s="235"/>
      <c r="E235" s="240" t="str">
        <f t="shared" si="10"/>
        <v>08-60 Vainitas.        kgr.</v>
      </c>
      <c r="F235" s="241">
        <f t="shared" si="11"/>
        <v>1.6E-2</v>
      </c>
      <c r="G235" s="235"/>
    </row>
    <row r="236" spans="1:7" ht="16.5" x14ac:dyDescent="0.3">
      <c r="A236" s="170" t="s">
        <v>1212</v>
      </c>
      <c r="B236" s="262" t="s">
        <v>1308</v>
      </c>
      <c r="C236" s="261">
        <f>20.26/2000</f>
        <v>1.013E-2</v>
      </c>
      <c r="D236" s="235"/>
      <c r="E236" s="240" t="str">
        <f t="shared" si="10"/>
        <v>08-61 Vegetales mixtos empaque .      1*12*1 kgr.</v>
      </c>
      <c r="F236" s="241">
        <f t="shared" si="11"/>
        <v>1.013E-2</v>
      </c>
      <c r="G236" s="235"/>
    </row>
    <row r="237" spans="1:7" ht="16.5" x14ac:dyDescent="0.3">
      <c r="A237" s="170" t="s">
        <v>1213</v>
      </c>
      <c r="B237" s="248" t="s">
        <v>1309</v>
      </c>
      <c r="C237" s="261">
        <f>13.2/1000</f>
        <v>1.32E-2</v>
      </c>
      <c r="D237" s="235"/>
      <c r="E237" s="240" t="str">
        <f t="shared" si="10"/>
        <v>08-62 Yuca congelada empaque           1*6*5 kgr.</v>
      </c>
      <c r="F237" s="241">
        <f t="shared" si="11"/>
        <v>1.32E-2</v>
      </c>
      <c r="G237" s="235"/>
    </row>
    <row r="238" spans="1:7" ht="16.5" x14ac:dyDescent="0.3">
      <c r="A238" s="170" t="s">
        <v>1214</v>
      </c>
      <c r="B238" s="262" t="s">
        <v>1544</v>
      </c>
      <c r="C238" s="261">
        <f>5/1000</f>
        <v>5.0000000000000001E-3</v>
      </c>
      <c r="D238" s="235"/>
      <c r="E238" s="240" t="str">
        <f t="shared" si="10"/>
        <v>08-63 Yuca        kgr.</v>
      </c>
      <c r="F238" s="241">
        <f t="shared" si="11"/>
        <v>5.0000000000000001E-3</v>
      </c>
      <c r="G238" s="235"/>
    </row>
    <row r="239" spans="1:7" ht="16.5" x14ac:dyDescent="0.3">
      <c r="A239" s="170" t="s">
        <v>1215</v>
      </c>
      <c r="B239" s="248" t="s">
        <v>1545</v>
      </c>
      <c r="C239" s="243">
        <f>14/1000</f>
        <v>1.4E-2</v>
      </c>
      <c r="D239" s="235"/>
      <c r="E239" s="240" t="str">
        <f t="shared" si="10"/>
        <v>08-64 Zanahoria.         kgr.</v>
      </c>
      <c r="F239" s="241">
        <f t="shared" si="11"/>
        <v>1.4E-2</v>
      </c>
      <c r="G239" s="235"/>
    </row>
    <row r="240" spans="1:7" ht="16.5" x14ac:dyDescent="0.3">
      <c r="A240" s="170" t="s">
        <v>1216</v>
      </c>
      <c r="B240" s="248" t="s">
        <v>1546</v>
      </c>
      <c r="C240" s="261">
        <f>50/1000</f>
        <v>0.05</v>
      </c>
      <c r="D240" s="235"/>
      <c r="E240" s="240" t="str">
        <f t="shared" si="10"/>
        <v>08-65 Gengibre        kgr.</v>
      </c>
      <c r="F240" s="241">
        <f t="shared" si="11"/>
        <v>0.05</v>
      </c>
      <c r="G240" s="235"/>
    </row>
    <row r="241" spans="1:7" ht="16.5" x14ac:dyDescent="0.3">
      <c r="A241" s="170" t="s">
        <v>9</v>
      </c>
      <c r="B241" s="248" t="s">
        <v>1547</v>
      </c>
      <c r="C241" s="261">
        <f>45/1000</f>
        <v>4.4999999999999998E-2</v>
      </c>
      <c r="D241" s="235"/>
      <c r="E241" s="240" t="str">
        <f t="shared" si="10"/>
        <v>08-66 Kiwi natural         kgr.</v>
      </c>
      <c r="F241" s="241">
        <f t="shared" si="11"/>
        <v>4.4999999999999998E-2</v>
      </c>
      <c r="G241" s="235"/>
    </row>
    <row r="242" spans="1:7" ht="15.75" x14ac:dyDescent="0.3">
      <c r="A242" s="170" t="s">
        <v>1276</v>
      </c>
      <c r="B242" s="248" t="s">
        <v>1310</v>
      </c>
      <c r="C242" s="169">
        <f>14.8/1000</f>
        <v>1.4800000000000001E-2</v>
      </c>
      <c r="D242" s="235"/>
      <c r="E242" s="240" t="str">
        <f t="shared" si="10"/>
        <v>08-67 Radiccio (lechuga morada)         kgr.</v>
      </c>
      <c r="F242" s="241">
        <f t="shared" si="11"/>
        <v>1.4800000000000001E-2</v>
      </c>
      <c r="G242" s="235"/>
    </row>
    <row r="243" spans="1:7" ht="15.75" x14ac:dyDescent="0.3">
      <c r="A243" s="170" t="s">
        <v>1302</v>
      </c>
      <c r="B243" s="248" t="s">
        <v>1548</v>
      </c>
      <c r="C243" s="169">
        <f>25.75/1000</f>
        <v>2.5749999999999999E-2</v>
      </c>
      <c r="D243" s="235"/>
      <c r="E243" s="240" t="str">
        <f t="shared" si="10"/>
        <v>08-68 Escarola              kgr.</v>
      </c>
      <c r="F243" s="241">
        <f t="shared" si="11"/>
        <v>2.5749999999999999E-2</v>
      </c>
      <c r="G243" s="235"/>
    </row>
    <row r="244" spans="1:7" ht="15.75" x14ac:dyDescent="0.3">
      <c r="A244" s="170" t="s">
        <v>1303</v>
      </c>
      <c r="B244" s="263" t="s">
        <v>1549</v>
      </c>
      <c r="C244" s="171">
        <v>0</v>
      </c>
      <c r="D244" s="235"/>
      <c r="E244" s="240" t="str">
        <f t="shared" si="10"/>
        <v>08-69 Hinojo Fresco           kgr.</v>
      </c>
      <c r="F244" s="241">
        <f t="shared" si="11"/>
        <v>0</v>
      </c>
      <c r="G244" s="235"/>
    </row>
    <row r="245" spans="1:7" ht="15.75" x14ac:dyDescent="0.3">
      <c r="A245" s="170" t="s">
        <v>1304</v>
      </c>
      <c r="B245" s="263" t="s">
        <v>1550</v>
      </c>
      <c r="C245" s="171">
        <v>0</v>
      </c>
      <c r="D245" s="235"/>
      <c r="E245" s="240" t="str">
        <f t="shared" si="10"/>
        <v>08-70 Eneldo Fresco             kgr.</v>
      </c>
      <c r="F245" s="241">
        <f t="shared" si="11"/>
        <v>0</v>
      </c>
      <c r="G245" s="235"/>
    </row>
    <row r="246" spans="1:7" ht="15.75" x14ac:dyDescent="0.3">
      <c r="A246" s="170" t="s">
        <v>1305</v>
      </c>
      <c r="B246" s="252" t="s">
        <v>1551</v>
      </c>
      <c r="C246" s="171">
        <v>0</v>
      </c>
      <c r="D246" s="235"/>
      <c r="E246" s="240" t="str">
        <f t="shared" si="10"/>
        <v>08-71 Hojas de platano.              kgr.</v>
      </c>
      <c r="F246" s="241">
        <f t="shared" si="11"/>
        <v>0</v>
      </c>
      <c r="G246" s="235"/>
    </row>
    <row r="247" spans="1:7" ht="16.5" x14ac:dyDescent="0.3">
      <c r="A247" s="264" t="s">
        <v>1217</v>
      </c>
      <c r="B247" s="265" t="s">
        <v>1552</v>
      </c>
      <c r="C247" s="261">
        <f>77.14/1000</f>
        <v>7.714E-2</v>
      </c>
      <c r="D247" s="235"/>
      <c r="E247" s="240" t="str">
        <f t="shared" si="10"/>
        <v>09-01 Almendras fileteadas.           Bolsa/ kgr.</v>
      </c>
      <c r="F247" s="241">
        <f t="shared" si="11"/>
        <v>7.714E-2</v>
      </c>
      <c r="G247" s="235"/>
    </row>
    <row r="248" spans="1:7" ht="16.5" x14ac:dyDescent="0.3">
      <c r="A248" s="264" t="s">
        <v>1218</v>
      </c>
      <c r="B248" s="266" t="s">
        <v>1553</v>
      </c>
      <c r="C248" s="261">
        <f>7.47/1000</f>
        <v>7.4700000000000001E-3</v>
      </c>
      <c r="D248" s="235"/>
      <c r="E248" s="240" t="str">
        <f t="shared" si="10"/>
        <v>09-02 Avellanas          Bolsa/ kgr.</v>
      </c>
      <c r="F248" s="241">
        <f t="shared" si="11"/>
        <v>7.4700000000000001E-3</v>
      </c>
      <c r="G248" s="235"/>
    </row>
    <row r="249" spans="1:7" ht="16.5" x14ac:dyDescent="0.3">
      <c r="A249" s="264" t="s">
        <v>1219</v>
      </c>
      <c r="B249" s="266" t="s">
        <v>1554</v>
      </c>
      <c r="C249" s="243">
        <v>17.190000000000001</v>
      </c>
      <c r="D249" s="235"/>
      <c r="E249" s="240" t="str">
        <f t="shared" si="10"/>
        <v>09-03 Caramelos de menta.         1*100 und.</v>
      </c>
      <c r="F249" s="241">
        <f t="shared" si="11"/>
        <v>17.190000000000001</v>
      </c>
      <c r="G249" s="235"/>
    </row>
    <row r="250" spans="1:7" ht="16.5" x14ac:dyDescent="0.3">
      <c r="A250" s="264" t="s">
        <v>1220</v>
      </c>
      <c r="B250" s="238" t="s">
        <v>1555</v>
      </c>
      <c r="C250" s="243">
        <v>8.5299999999999994</v>
      </c>
      <c r="D250" s="235"/>
      <c r="E250" s="240" t="str">
        <f t="shared" si="10"/>
        <v>09-04 Cotufas variadas         1*18*99 gr</v>
      </c>
      <c r="F250" s="241">
        <f t="shared" si="11"/>
        <v>8.5299999999999994</v>
      </c>
      <c r="G250" s="235"/>
    </row>
    <row r="251" spans="1:7" ht="16.5" x14ac:dyDescent="0.3">
      <c r="A251" s="264" t="s">
        <v>1221</v>
      </c>
      <c r="B251" s="245" t="s">
        <v>1556</v>
      </c>
      <c r="C251" s="243">
        <f>40/1000</f>
        <v>0.04</v>
      </c>
      <c r="D251" s="235"/>
      <c r="E251" s="240" t="str">
        <f t="shared" si="10"/>
        <v>09-05 Coco rallado.            kgr.</v>
      </c>
      <c r="F251" s="241">
        <f t="shared" si="11"/>
        <v>0.04</v>
      </c>
      <c r="G251" s="235"/>
    </row>
    <row r="252" spans="1:7" ht="16.5" x14ac:dyDescent="0.3">
      <c r="A252" s="264" t="s">
        <v>1222</v>
      </c>
      <c r="B252" s="245" t="s">
        <v>1311</v>
      </c>
      <c r="C252" s="243">
        <f>30/1000</f>
        <v>0.03</v>
      </c>
      <c r="D252" s="235"/>
      <c r="E252" s="240" t="str">
        <f t="shared" si="10"/>
        <v>09-06 Ciruelas pasas sin hueso            kgr.</v>
      </c>
      <c r="F252" s="241">
        <f t="shared" si="11"/>
        <v>0.03</v>
      </c>
      <c r="G252" s="235"/>
    </row>
    <row r="253" spans="1:7" ht="16.5" x14ac:dyDescent="0.3">
      <c r="A253" s="264" t="s">
        <v>1223</v>
      </c>
      <c r="B253" s="245" t="s">
        <v>1557</v>
      </c>
      <c r="C253" s="243">
        <f>138.39/1000</f>
        <v>0.13838999999999999</v>
      </c>
      <c r="D253" s="235"/>
      <c r="E253" s="240" t="str">
        <f t="shared" si="10"/>
        <v>09-07 Flan Lavital.          kgr.</v>
      </c>
      <c r="F253" s="241">
        <f t="shared" si="11"/>
        <v>0.13838999999999999</v>
      </c>
      <c r="G253" s="235"/>
    </row>
    <row r="254" spans="1:7" ht="16.5" x14ac:dyDescent="0.3">
      <c r="A254" s="264" t="s">
        <v>1224</v>
      </c>
      <c r="B254" s="245" t="s">
        <v>1558</v>
      </c>
      <c r="C254" s="243">
        <f>15.18/1000</f>
        <v>1.5179999999999999E-2</v>
      </c>
      <c r="D254" s="235"/>
      <c r="E254" s="240" t="str">
        <f t="shared" si="10"/>
        <v>09-08 Frutas confitadas.       kgr.</v>
      </c>
      <c r="F254" s="241">
        <f t="shared" si="11"/>
        <v>1.5179999999999999E-2</v>
      </c>
      <c r="G254" s="235"/>
    </row>
    <row r="255" spans="1:7" ht="16.5" x14ac:dyDescent="0.3">
      <c r="A255" s="264" t="s">
        <v>1225</v>
      </c>
      <c r="B255" s="245" t="s">
        <v>1312</v>
      </c>
      <c r="C255" s="243">
        <f>17.86/1000</f>
        <v>1.7860000000000001E-2</v>
      </c>
      <c r="D255" s="235"/>
      <c r="E255" s="240" t="str">
        <f t="shared" si="10"/>
        <v>09-09 Gelatina de sabores. Variados   kgr.</v>
      </c>
      <c r="F255" s="241">
        <f t="shared" si="11"/>
        <v>1.7860000000000001E-2</v>
      </c>
      <c r="G255" s="235"/>
    </row>
    <row r="256" spans="1:7" ht="15.75" x14ac:dyDescent="0.3">
      <c r="A256" s="264" t="s">
        <v>1226</v>
      </c>
      <c r="B256" s="245" t="s">
        <v>1559</v>
      </c>
      <c r="C256" s="169">
        <v>7.66</v>
      </c>
      <c r="D256" s="235"/>
      <c r="E256" s="240" t="str">
        <f t="shared" si="10"/>
        <v>09-10 Galletas club social caja.          1*28*9 sobre</v>
      </c>
      <c r="F256" s="241">
        <f t="shared" si="11"/>
        <v>7.66</v>
      </c>
      <c r="G256" s="235"/>
    </row>
    <row r="257" spans="1:7" ht="15.75" x14ac:dyDescent="0.3">
      <c r="A257" s="264" t="s">
        <v>1227</v>
      </c>
      <c r="B257" s="245" t="s">
        <v>1313</v>
      </c>
      <c r="C257" s="169">
        <v>9.2200000000000006</v>
      </c>
      <c r="D257" s="235"/>
      <c r="E257" s="240" t="str">
        <f t="shared" si="10"/>
        <v>09-11 Galletas club social integral       1*28*9 sobre</v>
      </c>
      <c r="F257" s="241">
        <f t="shared" si="11"/>
        <v>9.2200000000000006</v>
      </c>
      <c r="G257" s="235"/>
    </row>
    <row r="258" spans="1:7" ht="15.75" x14ac:dyDescent="0.3">
      <c r="A258" s="264" t="s">
        <v>1228</v>
      </c>
      <c r="B258" s="245" t="s">
        <v>1314</v>
      </c>
      <c r="C258" s="171"/>
      <c r="D258" s="235"/>
      <c r="E258" s="240" t="str">
        <f t="shared" si="10"/>
        <v>09-12 Galletas club social maiz             1*32*9sobre</v>
      </c>
      <c r="F258" s="241">
        <f t="shared" si="11"/>
        <v>0</v>
      </c>
      <c r="G258" s="235"/>
    </row>
    <row r="259" spans="1:7" ht="15.75" x14ac:dyDescent="0.3">
      <c r="A259" s="264" t="s">
        <v>1229</v>
      </c>
      <c r="B259" s="245" t="s">
        <v>1315</v>
      </c>
      <c r="C259" s="171"/>
      <c r="D259" s="235"/>
      <c r="E259" s="240" t="str">
        <f t="shared" si="10"/>
        <v>09-13 Galletas club social queso         1*32*9sobre</v>
      </c>
      <c r="F259" s="241">
        <f t="shared" si="11"/>
        <v>0</v>
      </c>
      <c r="G259" s="235"/>
    </row>
    <row r="260" spans="1:7" ht="15.75" x14ac:dyDescent="0.3">
      <c r="A260" s="264" t="s">
        <v>1230</v>
      </c>
      <c r="B260" s="245" t="s">
        <v>1560</v>
      </c>
      <c r="C260" s="169">
        <v>8.7899999999999991</v>
      </c>
      <c r="D260" s="235"/>
      <c r="E260" s="240" t="str">
        <f t="shared" ref="E260:E323" si="14">A260&amp;" "&amp;B260</f>
        <v>09-14 Galletas de soda El Sol.          1*24*9sobre</v>
      </c>
      <c r="F260" s="241">
        <f t="shared" ref="F260:F323" si="15">C260</f>
        <v>8.7899999999999991</v>
      </c>
      <c r="G260" s="235"/>
    </row>
    <row r="261" spans="1:7" ht="15.75" x14ac:dyDescent="0.3">
      <c r="A261" s="264" t="s">
        <v>1231</v>
      </c>
      <c r="B261" s="245" t="s">
        <v>1561</v>
      </c>
      <c r="C261" s="169">
        <v>10.72</v>
      </c>
      <c r="D261" s="235"/>
      <c r="E261" s="240" t="str">
        <f t="shared" si="14"/>
        <v>09-15 Galletas hony bran.          1*24*9sobre</v>
      </c>
      <c r="F261" s="241">
        <f t="shared" si="15"/>
        <v>10.72</v>
      </c>
      <c r="G261" s="235"/>
    </row>
    <row r="262" spans="1:7" ht="15.75" x14ac:dyDescent="0.3">
      <c r="A262" s="264" t="s">
        <v>1232</v>
      </c>
      <c r="B262" s="245" t="s">
        <v>1562</v>
      </c>
      <c r="C262" s="169">
        <v>10.73</v>
      </c>
      <c r="D262" s="235"/>
      <c r="E262" s="240" t="str">
        <f t="shared" si="14"/>
        <v>09-16 Galletas kraker bran.         1*24*9sobre</v>
      </c>
      <c r="F262" s="241">
        <f t="shared" si="15"/>
        <v>10.73</v>
      </c>
      <c r="G262" s="235"/>
    </row>
    <row r="263" spans="1:7" ht="16.5" x14ac:dyDescent="0.3">
      <c r="A263" s="264" t="s">
        <v>1233</v>
      </c>
      <c r="B263" s="245" t="s">
        <v>1563</v>
      </c>
      <c r="C263" s="261">
        <f>17.86/1000</f>
        <v>1.7860000000000001E-2</v>
      </c>
      <c r="D263" s="235"/>
      <c r="E263" s="240" t="str">
        <f t="shared" si="14"/>
        <v>09-17 Lluvia de colores           kgr.</v>
      </c>
      <c r="F263" s="241">
        <f t="shared" si="15"/>
        <v>1.7860000000000001E-2</v>
      </c>
      <c r="G263" s="235"/>
    </row>
    <row r="264" spans="1:7" ht="15.75" x14ac:dyDescent="0.3">
      <c r="A264" s="264" t="s">
        <v>1234</v>
      </c>
      <c r="B264" s="245" t="s">
        <v>1564</v>
      </c>
      <c r="C264" s="169">
        <v>1.68</v>
      </c>
      <c r="D264" s="235"/>
      <c r="E264" s="240" t="str">
        <f t="shared" si="14"/>
        <v>09-18 Mani pelado.           kgr.</v>
      </c>
      <c r="F264" s="241">
        <f t="shared" si="15"/>
        <v>1.68</v>
      </c>
      <c r="G264" s="235"/>
    </row>
    <row r="265" spans="1:7" ht="16.5" x14ac:dyDescent="0.3">
      <c r="A265" s="264" t="s">
        <v>1235</v>
      </c>
      <c r="B265" s="245" t="s">
        <v>1565</v>
      </c>
      <c r="C265" s="243">
        <f>80/1000</f>
        <v>0.08</v>
      </c>
      <c r="D265" s="235"/>
      <c r="E265" s="240" t="str">
        <f t="shared" si="14"/>
        <v>09-19 Nueces.peladas         kgr.</v>
      </c>
      <c r="F265" s="241">
        <f t="shared" si="15"/>
        <v>0.08</v>
      </c>
      <c r="G265" s="235"/>
    </row>
    <row r="266" spans="1:7" ht="16.5" x14ac:dyDescent="0.3">
      <c r="A266" s="264" t="s">
        <v>1236</v>
      </c>
      <c r="B266" s="245" t="s">
        <v>1316</v>
      </c>
      <c r="C266" s="243">
        <f>25/1000</f>
        <v>2.5000000000000001E-2</v>
      </c>
      <c r="D266" s="235"/>
      <c r="E266" s="240" t="str">
        <f t="shared" si="14"/>
        <v>09-20 mani picado para postres           kgr.</v>
      </c>
      <c r="F266" s="241">
        <f t="shared" si="15"/>
        <v>2.5000000000000001E-2</v>
      </c>
      <c r="G266" s="235"/>
    </row>
    <row r="267" spans="1:7" ht="16.5" x14ac:dyDescent="0.3">
      <c r="A267" s="264" t="s">
        <v>1237</v>
      </c>
      <c r="B267" s="245" t="s">
        <v>1566</v>
      </c>
      <c r="C267" s="243">
        <f>33.57/1000</f>
        <v>3.3570000000000003E-2</v>
      </c>
      <c r="D267" s="235"/>
      <c r="E267" s="240" t="str">
        <f t="shared" si="14"/>
        <v>09-21 Pudin kilo          kgr.</v>
      </c>
      <c r="F267" s="241">
        <f t="shared" si="15"/>
        <v>3.3570000000000003E-2</v>
      </c>
      <c r="G267" s="235"/>
    </row>
    <row r="268" spans="1:7" ht="16.5" x14ac:dyDescent="0.3">
      <c r="A268" s="264" t="s">
        <v>1238</v>
      </c>
      <c r="B268" s="245" t="s">
        <v>1567</v>
      </c>
      <c r="C268" s="243">
        <v>6.25</v>
      </c>
      <c r="D268" s="235"/>
      <c r="E268" s="240" t="str">
        <f t="shared" si="14"/>
        <v>09-22 Uvas pasas.         kgr.</v>
      </c>
      <c r="F268" s="241">
        <f t="shared" si="15"/>
        <v>6.25</v>
      </c>
      <c r="G268" s="235"/>
    </row>
    <row r="269" spans="1:7" ht="16.5" x14ac:dyDescent="0.3">
      <c r="A269" s="264" t="s">
        <v>1239</v>
      </c>
      <c r="B269" s="267" t="s">
        <v>1317</v>
      </c>
      <c r="C269" s="243">
        <f>58.04/1000</f>
        <v>5.8040000000000001E-2</v>
      </c>
      <c r="D269" s="235"/>
      <c r="E269" s="240" t="str">
        <f t="shared" si="14"/>
        <v>09-23 Barra de chocolate amargo El Rey  por kgr.</v>
      </c>
      <c r="F269" s="241">
        <f t="shared" si="15"/>
        <v>5.8040000000000001E-2</v>
      </c>
      <c r="G269" s="235"/>
    </row>
    <row r="270" spans="1:7" ht="15.75" x14ac:dyDescent="0.3">
      <c r="A270" s="264" t="s">
        <v>1240</v>
      </c>
      <c r="B270" s="267" t="s">
        <v>1568</v>
      </c>
      <c r="C270" s="171"/>
      <c r="D270" s="235"/>
      <c r="E270" s="240" t="str">
        <f t="shared" si="14"/>
        <v>09-24 Merey            kgr.</v>
      </c>
      <c r="F270" s="241">
        <f t="shared" si="15"/>
        <v>0</v>
      </c>
      <c r="G270" s="235"/>
    </row>
    <row r="271" spans="1:7" ht="16.5" x14ac:dyDescent="0.3">
      <c r="A271" s="264" t="s">
        <v>1241</v>
      </c>
      <c r="B271" s="267" t="s">
        <v>1569</v>
      </c>
      <c r="C271" s="243">
        <f>57.01/1000</f>
        <v>5.7009999999999998E-2</v>
      </c>
      <c r="D271" s="235"/>
      <c r="E271" s="240" t="str">
        <f t="shared" si="14"/>
        <v>09-25 Pistacho          kgr.</v>
      </c>
      <c r="F271" s="241">
        <f t="shared" si="15"/>
        <v>5.7009999999999998E-2</v>
      </c>
      <c r="G271" s="235"/>
    </row>
    <row r="272" spans="1:7" ht="16.5" x14ac:dyDescent="0.3">
      <c r="A272" s="264" t="s">
        <v>1242</v>
      </c>
      <c r="B272" s="267" t="s">
        <v>1570</v>
      </c>
      <c r="C272" s="243">
        <f>17.86/1000</f>
        <v>1.7860000000000001E-2</v>
      </c>
      <c r="D272" s="235"/>
      <c r="E272" s="240" t="str">
        <f t="shared" si="14"/>
        <v>09-26 Lluvia de Chocolate            kgr.</v>
      </c>
      <c r="F272" s="241">
        <f t="shared" si="15"/>
        <v>1.7860000000000001E-2</v>
      </c>
      <c r="G272" s="235"/>
    </row>
    <row r="273" spans="1:7" ht="16.5" x14ac:dyDescent="0.3">
      <c r="A273" s="264" t="s">
        <v>1243</v>
      </c>
      <c r="B273" s="267" t="s">
        <v>1318</v>
      </c>
      <c r="C273" s="243">
        <f>55/1000</f>
        <v>5.5E-2</v>
      </c>
      <c r="D273" s="235"/>
      <c r="E273" s="240" t="str">
        <f t="shared" si="14"/>
        <v>09-27 Barra de chocolate blanco El Rey   por kgr.</v>
      </c>
      <c r="F273" s="241">
        <f t="shared" si="15"/>
        <v>5.5E-2</v>
      </c>
      <c r="G273" s="235"/>
    </row>
    <row r="274" spans="1:7" ht="15.75" x14ac:dyDescent="0.3">
      <c r="A274" s="264" t="s">
        <v>1244</v>
      </c>
      <c r="B274" s="252" t="s">
        <v>1571</v>
      </c>
      <c r="C274" s="169">
        <v>17.86</v>
      </c>
      <c r="D274" s="235"/>
      <c r="E274" s="240" t="str">
        <f t="shared" si="14"/>
        <v>09-28 Gotas de Chocolate           kgr.</v>
      </c>
      <c r="F274" s="241">
        <f t="shared" si="15"/>
        <v>17.86</v>
      </c>
      <c r="G274" s="235"/>
    </row>
    <row r="275" spans="1:7" ht="15.75" x14ac:dyDescent="0.3">
      <c r="A275" s="264" t="s">
        <v>620</v>
      </c>
      <c r="B275" s="266" t="s">
        <v>1572</v>
      </c>
      <c r="C275" s="169">
        <v>8.26</v>
      </c>
      <c r="D275" s="235"/>
      <c r="E275" s="240" t="str">
        <f t="shared" si="14"/>
        <v xml:space="preserve">10-01 Granadina variada botella.         1*750 ml          </v>
      </c>
      <c r="F275" s="241">
        <f t="shared" si="15"/>
        <v>8.26</v>
      </c>
      <c r="G275" s="235"/>
    </row>
    <row r="276" spans="1:7" ht="15.75" x14ac:dyDescent="0.3">
      <c r="A276" s="264" t="s">
        <v>622</v>
      </c>
      <c r="B276" s="268" t="s">
        <v>1573</v>
      </c>
      <c r="C276" s="169">
        <v>14.37</v>
      </c>
      <c r="D276" s="235"/>
      <c r="E276" s="240" t="str">
        <f t="shared" si="14"/>
        <v>10-02 Mermelada variada           1*3*245 ml</v>
      </c>
      <c r="F276" s="241">
        <f t="shared" si="15"/>
        <v>14.37</v>
      </c>
      <c r="G276" s="235"/>
    </row>
    <row r="277" spans="1:7" ht="16.5" x14ac:dyDescent="0.3">
      <c r="A277" s="264" t="s">
        <v>624</v>
      </c>
      <c r="B277" s="245" t="s">
        <v>1574</v>
      </c>
      <c r="C277" s="243">
        <f>50/1000</f>
        <v>0.05</v>
      </c>
      <c r="D277" s="235"/>
      <c r="E277" s="240" t="str">
        <f t="shared" si="14"/>
        <v>10-03 Miel de abeja botella de.         1*12*1ltr</v>
      </c>
      <c r="F277" s="241">
        <f t="shared" si="15"/>
        <v>0.05</v>
      </c>
      <c r="G277" s="235"/>
    </row>
    <row r="278" spans="1:7" ht="15.75" x14ac:dyDescent="0.3">
      <c r="A278" s="264" t="s">
        <v>626</v>
      </c>
      <c r="B278" s="245" t="s">
        <v>1575</v>
      </c>
      <c r="C278" s="171"/>
      <c r="D278" s="235"/>
      <c r="E278" s="240" t="str">
        <f t="shared" si="14"/>
        <v>10-04 Miel de flores de abeja.           1*6*300 ml</v>
      </c>
      <c r="F278" s="241">
        <f t="shared" si="15"/>
        <v>0</v>
      </c>
      <c r="G278" s="235"/>
    </row>
    <row r="279" spans="1:7" ht="15.75" x14ac:dyDescent="0.3">
      <c r="A279" s="264" t="s">
        <v>628</v>
      </c>
      <c r="B279" s="245" t="s">
        <v>1576</v>
      </c>
      <c r="C279" s="169">
        <v>15.04</v>
      </c>
      <c r="D279" s="235"/>
      <c r="E279" s="240" t="str">
        <f t="shared" si="14"/>
        <v>10-05 Sirope natural.           1*12*709 ml</v>
      </c>
      <c r="F279" s="241">
        <f t="shared" si="15"/>
        <v>15.04</v>
      </c>
      <c r="G279" s="235"/>
    </row>
    <row r="280" spans="1:7" ht="15.75" x14ac:dyDescent="0.3">
      <c r="A280" s="264" t="s">
        <v>630</v>
      </c>
      <c r="B280" s="245" t="s">
        <v>1319</v>
      </c>
      <c r="C280" s="169">
        <v>28.66</v>
      </c>
      <c r="D280" s="235"/>
      <c r="E280" s="240" t="str">
        <f t="shared" si="14"/>
        <v>10-06 Sirope de fresa Hershey              1*12*680gr</v>
      </c>
      <c r="F280" s="241">
        <f t="shared" si="15"/>
        <v>28.66</v>
      </c>
      <c r="G280" s="235"/>
    </row>
    <row r="281" spans="1:7" ht="15.75" x14ac:dyDescent="0.3">
      <c r="A281" s="264" t="s">
        <v>632</v>
      </c>
      <c r="B281" s="245" t="s">
        <v>1320</v>
      </c>
      <c r="C281" s="169">
        <v>46.27</v>
      </c>
      <c r="D281" s="235"/>
      <c r="E281" s="240" t="str">
        <f t="shared" si="14"/>
        <v>10-07 Sirope de chocolate hershey     1*12*680gr</v>
      </c>
      <c r="F281" s="241">
        <f t="shared" si="15"/>
        <v>46.27</v>
      </c>
      <c r="G281" s="235"/>
    </row>
    <row r="282" spans="1:7" ht="15.75" x14ac:dyDescent="0.3">
      <c r="A282" s="264" t="s">
        <v>1245</v>
      </c>
      <c r="B282" s="245" t="s">
        <v>1321</v>
      </c>
      <c r="C282" s="169">
        <v>73.39</v>
      </c>
      <c r="D282" s="235"/>
      <c r="E282" s="240" t="str">
        <f t="shared" si="14"/>
        <v>10-08 Sirope de Caramelo Envased   1*12*680gr</v>
      </c>
      <c r="F282" s="241">
        <f t="shared" si="15"/>
        <v>73.39</v>
      </c>
      <c r="G282" s="235"/>
    </row>
    <row r="283" spans="1:7" ht="16.5" x14ac:dyDescent="0.3">
      <c r="A283" s="264" t="s">
        <v>636</v>
      </c>
      <c r="B283" s="265" t="s">
        <v>1577</v>
      </c>
      <c r="C283" s="243">
        <v>4</v>
      </c>
      <c r="D283" s="235"/>
      <c r="E283" s="240" t="str">
        <f t="shared" si="14"/>
        <v>11-01 Casabe paquete      1*10 tortas</v>
      </c>
      <c r="F283" s="241">
        <f t="shared" si="15"/>
        <v>4</v>
      </c>
      <c r="G283" s="235"/>
    </row>
    <row r="284" spans="1:7" ht="16.5" x14ac:dyDescent="0.3">
      <c r="A284" s="264" t="s">
        <v>638</v>
      </c>
      <c r="B284" s="245" t="s">
        <v>1578</v>
      </c>
      <c r="C284" s="243">
        <f>4.9/1000</f>
        <v>4.9000000000000007E-3</v>
      </c>
      <c r="D284" s="235"/>
      <c r="E284" s="240" t="str">
        <f t="shared" si="14"/>
        <v xml:space="preserve">11-02 Harina pan  1 x 20 kg            1*20  kgr. </v>
      </c>
      <c r="F284" s="241">
        <f t="shared" si="15"/>
        <v>4.9000000000000007E-3</v>
      </c>
      <c r="G284" s="235"/>
    </row>
    <row r="285" spans="1:7" ht="16.5" x14ac:dyDescent="0.3">
      <c r="A285" s="264" t="s">
        <v>640</v>
      </c>
      <c r="B285" s="245" t="s">
        <v>1579</v>
      </c>
      <c r="C285" s="243">
        <f>6.75/1000</f>
        <v>6.7499999999999999E-3</v>
      </c>
      <c r="D285" s="235"/>
      <c r="E285" s="240" t="str">
        <f t="shared" si="14"/>
        <v xml:space="preserve">11-03 Harina de trigo leudante             1*20  kgr. </v>
      </c>
      <c r="F285" s="241">
        <f t="shared" si="15"/>
        <v>6.7499999999999999E-3</v>
      </c>
      <c r="G285" s="235"/>
    </row>
    <row r="286" spans="1:7" ht="16.5" x14ac:dyDescent="0.3">
      <c r="A286" s="264" t="s">
        <v>642</v>
      </c>
      <c r="B286" s="245" t="s">
        <v>1580</v>
      </c>
      <c r="C286" s="261">
        <f>6.75/1000</f>
        <v>6.7499999999999999E-3</v>
      </c>
      <c r="D286" s="235"/>
      <c r="E286" s="240" t="str">
        <f t="shared" si="14"/>
        <v xml:space="preserve">11-04 Harina de trigo todo uso          1*20  kgr. </v>
      </c>
      <c r="F286" s="241">
        <f t="shared" si="15"/>
        <v>6.7499999999999999E-3</v>
      </c>
      <c r="G286" s="235"/>
    </row>
    <row r="287" spans="1:7" ht="15.75" x14ac:dyDescent="0.3">
      <c r="A287" s="264" t="s">
        <v>644</v>
      </c>
      <c r="B287" s="245" t="s">
        <v>1581</v>
      </c>
      <c r="C287" s="169">
        <v>4.9883333333333333</v>
      </c>
      <c r="D287" s="235"/>
      <c r="E287" s="240" t="str">
        <f t="shared" si="14"/>
        <v>11-05 Mezcla para cachapas             1*12*500 kgr.</v>
      </c>
      <c r="F287" s="241">
        <f t="shared" si="15"/>
        <v>4.9883333333333333</v>
      </c>
      <c r="G287" s="235"/>
    </row>
    <row r="288" spans="1:7" ht="15.75" x14ac:dyDescent="0.3">
      <c r="A288" s="264" t="s">
        <v>646</v>
      </c>
      <c r="B288" s="245" t="s">
        <v>1322</v>
      </c>
      <c r="C288" s="169">
        <v>5.2999999999999999E-2</v>
      </c>
      <c r="D288" s="235"/>
      <c r="E288" s="240" t="str">
        <f t="shared" si="14"/>
        <v>11-06 Levadura salada de L.G.               500 gr</v>
      </c>
      <c r="F288" s="241">
        <f t="shared" si="15"/>
        <v>5.2999999999999999E-2</v>
      </c>
      <c r="G288" s="235"/>
    </row>
    <row r="289" spans="1:7" ht="15.75" x14ac:dyDescent="0.3">
      <c r="A289" s="264" t="s">
        <v>648</v>
      </c>
      <c r="B289" s="245" t="s">
        <v>1582</v>
      </c>
      <c r="C289" s="169">
        <v>5.2999999999999999E-2</v>
      </c>
      <c r="D289" s="235"/>
      <c r="E289" s="240" t="str">
        <f t="shared" si="14"/>
        <v>11-07 Levadura dulce de lL.G.           500 gr</v>
      </c>
      <c r="F289" s="241">
        <f t="shared" si="15"/>
        <v>5.2999999999999999E-2</v>
      </c>
      <c r="G289" s="235"/>
    </row>
    <row r="290" spans="1:7" ht="16.5" x14ac:dyDescent="0.3">
      <c r="A290" s="264" t="s">
        <v>650</v>
      </c>
      <c r="B290" s="245" t="s">
        <v>1583</v>
      </c>
      <c r="C290" s="243">
        <f>16.96/2000</f>
        <v>8.4799999999999997E-3</v>
      </c>
      <c r="D290" s="235"/>
      <c r="E290" s="240" t="str">
        <f t="shared" si="14"/>
        <v>11-08 Polvo hornear.        kgr.</v>
      </c>
      <c r="F290" s="241">
        <f t="shared" si="15"/>
        <v>8.4799999999999997E-3</v>
      </c>
      <c r="G290" s="235"/>
    </row>
    <row r="291" spans="1:7" ht="15.75" x14ac:dyDescent="0.3">
      <c r="A291" s="264" t="s">
        <v>651</v>
      </c>
      <c r="B291" s="269" t="s">
        <v>1323</v>
      </c>
      <c r="C291" s="169">
        <v>6.48</v>
      </c>
      <c r="D291" s="235"/>
      <c r="E291" s="240" t="str">
        <f t="shared" si="14"/>
        <v>11-09 Pan árabe pita chawarmas   1*6und</v>
      </c>
      <c r="F291" s="241">
        <f t="shared" si="15"/>
        <v>6.48</v>
      </c>
      <c r="G291" s="235"/>
    </row>
    <row r="292" spans="1:7" ht="15.75" x14ac:dyDescent="0.3">
      <c r="A292" s="264" t="s">
        <v>653</v>
      </c>
      <c r="B292" s="267" t="s">
        <v>1324</v>
      </c>
      <c r="C292" s="169">
        <v>16.739999999999998</v>
      </c>
      <c r="D292" s="235"/>
      <c r="E292" s="240" t="str">
        <f t="shared" si="14"/>
        <v>11-10 Tortilla suave de harina Bimbo. 1*2*12</v>
      </c>
      <c r="F292" s="241">
        <f t="shared" si="15"/>
        <v>16.739999999999998</v>
      </c>
      <c r="G292" s="235"/>
    </row>
    <row r="293" spans="1:7" ht="16.5" x14ac:dyDescent="0.3">
      <c r="A293" s="264" t="s">
        <v>655</v>
      </c>
      <c r="B293" s="267" t="s">
        <v>1584</v>
      </c>
      <c r="C293" s="243">
        <f>11/1000</f>
        <v>1.0999999999999999E-2</v>
      </c>
      <c r="D293" s="235"/>
      <c r="E293" s="240" t="str">
        <f t="shared" si="14"/>
        <v>11-11 Masa para pastelitos.        kgr.</v>
      </c>
      <c r="F293" s="241">
        <f t="shared" si="15"/>
        <v>1.0999999999999999E-2</v>
      </c>
      <c r="G293" s="235"/>
    </row>
    <row r="294" spans="1:7" ht="15.75" x14ac:dyDescent="0.3">
      <c r="A294" s="264" t="s">
        <v>657</v>
      </c>
      <c r="B294" s="252" t="s">
        <v>1585</v>
      </c>
      <c r="C294" s="169">
        <v>5.55</v>
      </c>
      <c r="D294" s="235"/>
      <c r="E294" s="240" t="str">
        <f t="shared" si="14"/>
        <v>11-12 Harina de trigo.          1 * 45 kgr.</v>
      </c>
      <c r="F294" s="241">
        <f t="shared" si="15"/>
        <v>5.55</v>
      </c>
      <c r="G294" s="235"/>
    </row>
    <row r="295" spans="1:7" ht="15.75" x14ac:dyDescent="0.3">
      <c r="A295" s="170" t="s">
        <v>671</v>
      </c>
      <c r="B295" s="238" t="s">
        <v>1586</v>
      </c>
      <c r="C295" s="171">
        <f>12/1000</f>
        <v>1.2E-2</v>
      </c>
      <c r="D295" s="235"/>
      <c r="E295" s="240" t="str">
        <f t="shared" si="14"/>
        <v>12-01 Pasta larga  Vermicelli         Kgr.</v>
      </c>
      <c r="F295" s="241">
        <f t="shared" si="15"/>
        <v>1.2E-2</v>
      </c>
      <c r="G295" s="235"/>
    </row>
    <row r="296" spans="1:7" ht="15.75" x14ac:dyDescent="0.3">
      <c r="A296" s="170" t="s">
        <v>673</v>
      </c>
      <c r="B296" s="245" t="s">
        <v>1587</v>
      </c>
      <c r="C296" s="171">
        <f>15/1000</f>
        <v>1.4999999999999999E-2</v>
      </c>
      <c r="D296" s="235"/>
      <c r="E296" s="240" t="str">
        <f t="shared" si="14"/>
        <v>12-02 Pasta larga  Linguini        Kgr.</v>
      </c>
      <c r="F296" s="241">
        <f t="shared" si="15"/>
        <v>1.4999999999999999E-2</v>
      </c>
      <c r="G296" s="235"/>
    </row>
    <row r="297" spans="1:7" ht="15.75" x14ac:dyDescent="0.3">
      <c r="A297" s="170" t="s">
        <v>675</v>
      </c>
      <c r="B297" s="245" t="s">
        <v>1588</v>
      </c>
      <c r="C297" s="171">
        <f>15.48/1000</f>
        <v>1.5480000000000001E-2</v>
      </c>
      <c r="D297" s="235"/>
      <c r="E297" s="240" t="str">
        <f t="shared" si="14"/>
        <v>12-03 Pasta larga  Tallarines             Kgr.</v>
      </c>
      <c r="F297" s="241">
        <f t="shared" si="15"/>
        <v>1.5480000000000001E-2</v>
      </c>
      <c r="G297" s="235"/>
    </row>
    <row r="298" spans="1:7" ht="15.75" x14ac:dyDescent="0.3">
      <c r="A298" s="170" t="s">
        <v>677</v>
      </c>
      <c r="B298" s="245" t="s">
        <v>1589</v>
      </c>
      <c r="C298" s="171">
        <f>14.48/1000</f>
        <v>1.448E-2</v>
      </c>
      <c r="D298" s="235"/>
      <c r="E298" s="240" t="str">
        <f t="shared" si="14"/>
        <v>12-04 Pasta larga fetuccini       Kgr.</v>
      </c>
      <c r="F298" s="241">
        <f t="shared" si="15"/>
        <v>1.448E-2</v>
      </c>
      <c r="G298" s="235"/>
    </row>
    <row r="299" spans="1:7" ht="15.75" x14ac:dyDescent="0.3">
      <c r="A299" s="170" t="s">
        <v>679</v>
      </c>
      <c r="B299" s="245" t="s">
        <v>1590</v>
      </c>
      <c r="C299" s="171">
        <f>10.51/1000</f>
        <v>1.051E-2</v>
      </c>
      <c r="D299" s="235"/>
      <c r="E299" s="240" t="str">
        <f t="shared" si="14"/>
        <v>12-05 Pasta corta Plumita          Kgr.</v>
      </c>
      <c r="F299" s="241">
        <f t="shared" si="15"/>
        <v>1.051E-2</v>
      </c>
      <c r="G299" s="235"/>
    </row>
    <row r="300" spans="1:7" ht="15.75" x14ac:dyDescent="0.3">
      <c r="A300" s="170" t="s">
        <v>681</v>
      </c>
      <c r="B300" s="245" t="s">
        <v>1591</v>
      </c>
      <c r="C300" s="171">
        <f>16/1000</f>
        <v>1.6E-2</v>
      </c>
      <c r="D300" s="235"/>
      <c r="E300" s="240" t="str">
        <f t="shared" si="14"/>
        <v>12-06 Pasta corta Canelones       Kgr.</v>
      </c>
      <c r="F300" s="241">
        <f t="shared" si="15"/>
        <v>1.6E-2</v>
      </c>
      <c r="G300" s="235"/>
    </row>
    <row r="301" spans="1:7" ht="15.75" x14ac:dyDescent="0.3">
      <c r="A301" s="170" t="s">
        <v>683</v>
      </c>
      <c r="B301" s="245" t="s">
        <v>1592</v>
      </c>
      <c r="C301" s="171">
        <f>9/1000</f>
        <v>8.9999999999999993E-3</v>
      </c>
      <c r="D301" s="235"/>
      <c r="E301" s="240" t="str">
        <f t="shared" si="14"/>
        <v>12-07 Pasta corta caracolees           Kgr.</v>
      </c>
      <c r="F301" s="241">
        <f t="shared" si="15"/>
        <v>8.9999999999999993E-3</v>
      </c>
      <c r="G301" s="235"/>
    </row>
    <row r="302" spans="1:7" ht="15.75" x14ac:dyDescent="0.3">
      <c r="A302" s="170" t="s">
        <v>685</v>
      </c>
      <c r="B302" s="245" t="s">
        <v>1593</v>
      </c>
      <c r="C302" s="171">
        <f>10/1000</f>
        <v>0.01</v>
      </c>
      <c r="D302" s="235"/>
      <c r="E302" s="240" t="str">
        <f t="shared" si="14"/>
        <v>12-08 Pasta corta dedal           Kgr.</v>
      </c>
      <c r="F302" s="241">
        <f t="shared" si="15"/>
        <v>0.01</v>
      </c>
      <c r="G302" s="235"/>
    </row>
    <row r="303" spans="1:7" ht="15.75" x14ac:dyDescent="0.3">
      <c r="A303" s="170" t="s">
        <v>687</v>
      </c>
      <c r="B303" s="245" t="s">
        <v>1594</v>
      </c>
      <c r="C303" s="171">
        <f>13/1000</f>
        <v>1.2999999999999999E-2</v>
      </c>
      <c r="D303" s="235"/>
      <c r="E303" s="240" t="str">
        <f t="shared" si="14"/>
        <v>12-09 Pasta corta codido           Kgr.</v>
      </c>
      <c r="F303" s="241">
        <f t="shared" si="15"/>
        <v>1.2999999999999999E-2</v>
      </c>
      <c r="G303" s="235"/>
    </row>
    <row r="304" spans="1:7" ht="15.75" x14ac:dyDescent="0.3">
      <c r="A304" s="170" t="s">
        <v>689</v>
      </c>
      <c r="B304" s="245" t="s">
        <v>1595</v>
      </c>
      <c r="C304" s="171">
        <f>10.51/1000</f>
        <v>1.051E-2</v>
      </c>
      <c r="D304" s="235"/>
      <c r="E304" s="240" t="str">
        <f t="shared" si="14"/>
        <v>12-10 Pasta corta tornillitos        Kgr.</v>
      </c>
      <c r="F304" s="241">
        <f t="shared" si="15"/>
        <v>1.051E-2</v>
      </c>
      <c r="G304" s="235"/>
    </row>
    <row r="305" spans="1:7" ht="15.75" x14ac:dyDescent="0.3">
      <c r="A305" s="170" t="s">
        <v>691</v>
      </c>
      <c r="B305" s="245" t="s">
        <v>1596</v>
      </c>
      <c r="C305" s="171">
        <f>16/1000</f>
        <v>1.6E-2</v>
      </c>
      <c r="D305" s="235"/>
      <c r="E305" s="240" t="str">
        <f t="shared" si="14"/>
        <v>12-11 Pasta corta macarrones        Kgr.</v>
      </c>
      <c r="F305" s="241">
        <f t="shared" si="15"/>
        <v>1.6E-2</v>
      </c>
      <c r="G305" s="235"/>
    </row>
    <row r="306" spans="1:7" ht="15.75" x14ac:dyDescent="0.3">
      <c r="A306" s="170" t="s">
        <v>693</v>
      </c>
      <c r="B306" s="245" t="s">
        <v>1597</v>
      </c>
      <c r="C306" s="171">
        <f>13/1000</f>
        <v>1.2999999999999999E-2</v>
      </c>
      <c r="D306" s="235"/>
      <c r="E306" s="240" t="str">
        <f t="shared" si="14"/>
        <v>12-12 Pasta corta Codidos.      Kgr.</v>
      </c>
      <c r="F306" s="241">
        <f t="shared" si="15"/>
        <v>1.2999999999999999E-2</v>
      </c>
      <c r="G306" s="235"/>
    </row>
    <row r="307" spans="1:7" ht="15.75" x14ac:dyDescent="0.3">
      <c r="A307" s="170" t="s">
        <v>1246</v>
      </c>
      <c r="B307" s="245" t="s">
        <v>1598</v>
      </c>
      <c r="C307" s="171">
        <f>7.74/250</f>
        <v>3.0960000000000001E-2</v>
      </c>
      <c r="D307" s="235"/>
      <c r="E307" s="240" t="str">
        <f t="shared" si="14"/>
        <v>12-13 Pasta para pasticho.       1*12*250gr</v>
      </c>
      <c r="F307" s="241">
        <f t="shared" si="15"/>
        <v>3.0960000000000001E-2</v>
      </c>
      <c r="G307" s="235"/>
    </row>
    <row r="308" spans="1:7" ht="15.75" x14ac:dyDescent="0.3">
      <c r="A308" s="170" t="s">
        <v>1247</v>
      </c>
      <c r="B308" s="245" t="s">
        <v>1599</v>
      </c>
      <c r="C308" s="171">
        <f>5.5/250</f>
        <v>2.1999999999999999E-2</v>
      </c>
      <c r="D308" s="235"/>
      <c r="E308" s="240" t="str">
        <f t="shared" si="14"/>
        <v>12-14 Fideos para sopa         1*12*250gr</v>
      </c>
      <c r="F308" s="241">
        <f t="shared" si="15"/>
        <v>2.1999999999999999E-2</v>
      </c>
      <c r="G308" s="235"/>
    </row>
    <row r="309" spans="1:7" ht="16.5" x14ac:dyDescent="0.3">
      <c r="A309" s="250" t="s">
        <v>697</v>
      </c>
      <c r="B309" s="248" t="s">
        <v>1600</v>
      </c>
      <c r="C309" s="261">
        <f>27/1000</f>
        <v>2.7E-2</v>
      </c>
      <c r="D309" s="235"/>
      <c r="E309" s="240" t="str">
        <f t="shared" si="14"/>
        <v>13-01 Carne molida.           1*3 kgr</v>
      </c>
      <c r="F309" s="241">
        <f t="shared" si="15"/>
        <v>2.7E-2</v>
      </c>
      <c r="G309" s="235"/>
    </row>
    <row r="310" spans="1:7" ht="16.5" x14ac:dyDescent="0.3">
      <c r="A310" s="250" t="s">
        <v>699</v>
      </c>
      <c r="B310" s="248" t="s">
        <v>1601</v>
      </c>
      <c r="C310" s="243">
        <f>25.73/1000</f>
        <v>2.5729999999999999E-2</v>
      </c>
      <c r="D310" s="235"/>
      <c r="E310" s="240" t="str">
        <f t="shared" si="14"/>
        <v>13-02 Carne para esmechar.        1*3 kgr</v>
      </c>
      <c r="F310" s="241">
        <f t="shared" si="15"/>
        <v>2.5729999999999999E-2</v>
      </c>
      <c r="G310" s="235"/>
    </row>
    <row r="311" spans="1:7" ht="16.5" x14ac:dyDescent="0.3">
      <c r="A311" s="250" t="s">
        <v>701</v>
      </c>
      <c r="B311" s="270" t="s">
        <v>1602</v>
      </c>
      <c r="C311" s="243">
        <f>18/1000</f>
        <v>1.7999999999999999E-2</v>
      </c>
      <c r="D311" s="235"/>
      <c r="E311" s="240" t="str">
        <f t="shared" si="14"/>
        <v>13-03 Costilla de res.       1*3 kgr</v>
      </c>
      <c r="F311" s="241">
        <f t="shared" si="15"/>
        <v>1.7999999999999999E-2</v>
      </c>
      <c r="G311" s="235"/>
    </row>
    <row r="312" spans="1:7" ht="16.5" x14ac:dyDescent="0.3">
      <c r="A312" s="250" t="s">
        <v>703</v>
      </c>
      <c r="B312" s="248" t="s">
        <v>1325</v>
      </c>
      <c r="C312" s="261">
        <f>20/1000</f>
        <v>0.02</v>
      </c>
      <c r="D312" s="235"/>
      <c r="E312" s="240" t="str">
        <f t="shared" si="14"/>
        <v>13-04 Lagarto con Hueso (osobuco). 1*3 kgr</v>
      </c>
      <c r="F312" s="241">
        <f t="shared" si="15"/>
        <v>0.02</v>
      </c>
      <c r="G312" s="235"/>
    </row>
    <row r="313" spans="1:7" ht="16.5" x14ac:dyDescent="0.3">
      <c r="A313" s="250" t="s">
        <v>705</v>
      </c>
      <c r="B313" s="248" t="s">
        <v>1603</v>
      </c>
      <c r="C313" s="243">
        <f>42/1000</f>
        <v>4.2000000000000003E-2</v>
      </c>
      <c r="D313" s="235"/>
      <c r="E313" s="240" t="str">
        <f t="shared" si="14"/>
        <v>13-05 Lomito entero de res.          Kgr.</v>
      </c>
      <c r="F313" s="241">
        <f t="shared" si="15"/>
        <v>4.2000000000000003E-2</v>
      </c>
      <c r="G313" s="235"/>
    </row>
    <row r="314" spans="1:7" ht="16.5" x14ac:dyDescent="0.3">
      <c r="A314" s="250" t="s">
        <v>707</v>
      </c>
      <c r="B314" s="248" t="s">
        <v>1604</v>
      </c>
      <c r="C314" s="243">
        <f>26.6/1000</f>
        <v>2.6600000000000002E-2</v>
      </c>
      <c r="D314" s="235"/>
      <c r="E314" s="240" t="str">
        <f t="shared" si="14"/>
        <v>13-06 Muchacho redondo.        Kgr.</v>
      </c>
      <c r="F314" s="241">
        <f t="shared" si="15"/>
        <v>2.6600000000000002E-2</v>
      </c>
      <c r="G314" s="235"/>
    </row>
    <row r="315" spans="1:7" ht="16.5" x14ac:dyDescent="0.3">
      <c r="A315" s="250" t="s">
        <v>709</v>
      </c>
      <c r="B315" s="248" t="s">
        <v>1605</v>
      </c>
      <c r="C315" s="243">
        <f>10/1000</f>
        <v>0.01</v>
      </c>
      <c r="D315" s="235"/>
      <c r="E315" s="240" t="str">
        <f t="shared" si="14"/>
        <v>13-07 Panza de res picada.         1*3 kgr</v>
      </c>
      <c r="F315" s="241">
        <f t="shared" si="15"/>
        <v>0.01</v>
      </c>
      <c r="G315" s="235"/>
    </row>
    <row r="316" spans="1:7" ht="16.5" x14ac:dyDescent="0.3">
      <c r="A316" s="250" t="s">
        <v>711</v>
      </c>
      <c r="B316" s="248" t="s">
        <v>1606</v>
      </c>
      <c r="C316" s="243">
        <f>30/1000</f>
        <v>0.03</v>
      </c>
      <c r="D316" s="235"/>
      <c r="E316" s="240" t="str">
        <f t="shared" si="14"/>
        <v>13-08 Pulpa negra.           Kgr.</v>
      </c>
      <c r="F316" s="241">
        <f t="shared" si="15"/>
        <v>0.03</v>
      </c>
      <c r="G316" s="235"/>
    </row>
    <row r="317" spans="1:7" ht="16.5" x14ac:dyDescent="0.3">
      <c r="A317" s="250" t="s">
        <v>713</v>
      </c>
      <c r="B317" s="248" t="s">
        <v>1607</v>
      </c>
      <c r="C317" s="243">
        <f>35.2/1000</f>
        <v>3.5200000000000002E-2</v>
      </c>
      <c r="D317" s="235"/>
      <c r="E317" s="240" t="str">
        <f t="shared" si="14"/>
        <v>13-09 Rabo de res.          1*3 kgr</v>
      </c>
      <c r="F317" s="241">
        <f t="shared" si="15"/>
        <v>3.5200000000000002E-2</v>
      </c>
      <c r="G317" s="235"/>
    </row>
    <row r="318" spans="1:7" ht="16.5" x14ac:dyDescent="0.3">
      <c r="A318" s="250" t="s">
        <v>715</v>
      </c>
      <c r="B318" s="248" t="s">
        <v>1608</v>
      </c>
      <c r="C318" s="261">
        <f>32/1000</f>
        <v>3.2000000000000001E-2</v>
      </c>
      <c r="D318" s="235"/>
      <c r="E318" s="240" t="str">
        <f t="shared" si="14"/>
        <v>13-10 Solomo de cuerito.       Kgr.</v>
      </c>
      <c r="F318" s="241">
        <f t="shared" si="15"/>
        <v>3.2000000000000001E-2</v>
      </c>
      <c r="G318" s="235"/>
    </row>
    <row r="319" spans="1:7" ht="16.5" x14ac:dyDescent="0.3">
      <c r="A319" s="250" t="s">
        <v>717</v>
      </c>
      <c r="B319" s="248" t="s">
        <v>1609</v>
      </c>
      <c r="C319" s="261">
        <f>33/1000</f>
        <v>3.3000000000000002E-2</v>
      </c>
      <c r="D319" s="235"/>
      <c r="E319" s="240" t="str">
        <f t="shared" si="14"/>
        <v>13-11 Punta trasera        Kgr.</v>
      </c>
      <c r="F319" s="241">
        <f t="shared" si="15"/>
        <v>3.3000000000000002E-2</v>
      </c>
      <c r="G319" s="235"/>
    </row>
    <row r="320" spans="1:7" ht="16.5" x14ac:dyDescent="0.3">
      <c r="A320" s="250" t="s">
        <v>719</v>
      </c>
      <c r="B320" s="248" t="s">
        <v>1610</v>
      </c>
      <c r="C320" s="261">
        <f>35/1000</f>
        <v>3.5000000000000003E-2</v>
      </c>
      <c r="D320" s="235"/>
      <c r="E320" s="240" t="str">
        <f t="shared" si="14"/>
        <v>13-12 Chorizo variados         1*3 kgr</v>
      </c>
      <c r="F320" s="241">
        <f t="shared" si="15"/>
        <v>3.5000000000000003E-2</v>
      </c>
      <c r="G320" s="235"/>
    </row>
    <row r="321" spans="1:7" ht="16.5" x14ac:dyDescent="0.3">
      <c r="A321" s="250" t="s">
        <v>721</v>
      </c>
      <c r="B321" s="248" t="s">
        <v>1611</v>
      </c>
      <c r="C321" s="243">
        <f>35/1000</f>
        <v>3.5000000000000003E-2</v>
      </c>
      <c r="D321" s="235"/>
      <c r="E321" s="240" t="str">
        <f t="shared" si="14"/>
        <v>13-13 Morcilla        1*3 kgr</v>
      </c>
      <c r="F321" s="241">
        <f t="shared" si="15"/>
        <v>3.5000000000000003E-2</v>
      </c>
      <c r="G321" s="235"/>
    </row>
    <row r="322" spans="1:7" ht="16.5" x14ac:dyDescent="0.3">
      <c r="A322" s="170" t="s">
        <v>735</v>
      </c>
      <c r="B322" s="245" t="s">
        <v>1612</v>
      </c>
      <c r="C322" s="243">
        <f>25.35/1000</f>
        <v>2.5350000000000001E-2</v>
      </c>
      <c r="D322" s="235"/>
      <c r="E322" s="240" t="str">
        <f t="shared" si="14"/>
        <v>14-01 Chivo picado.        1*3 kgr</v>
      </c>
      <c r="F322" s="241">
        <f t="shared" si="15"/>
        <v>2.5350000000000001E-2</v>
      </c>
      <c r="G322" s="235"/>
    </row>
    <row r="323" spans="1:7" ht="16.5" x14ac:dyDescent="0.3">
      <c r="A323" s="170" t="s">
        <v>737</v>
      </c>
      <c r="B323" s="245" t="s">
        <v>1613</v>
      </c>
      <c r="C323" s="243">
        <f>35/1000</f>
        <v>3.5000000000000003E-2</v>
      </c>
      <c r="D323" s="235"/>
      <c r="E323" s="240" t="str">
        <f t="shared" si="14"/>
        <v>14-02 Lomo de Cerdo       Kgr.</v>
      </c>
      <c r="F323" s="241">
        <f t="shared" si="15"/>
        <v>3.5000000000000003E-2</v>
      </c>
      <c r="G323" s="235"/>
    </row>
    <row r="324" spans="1:7" ht="16.5" x14ac:dyDescent="0.3">
      <c r="A324" s="170" t="s">
        <v>739</v>
      </c>
      <c r="B324" s="245" t="s">
        <v>1614</v>
      </c>
      <c r="C324" s="243">
        <f>25/1000</f>
        <v>2.5000000000000001E-2</v>
      </c>
      <c r="D324" s="235"/>
      <c r="E324" s="240" t="str">
        <f t="shared" ref="E324:E383" si="16">A324&amp;" "&amp;B324</f>
        <v>14-03 Pierna de cordero.           Kgr.</v>
      </c>
      <c r="F324" s="241">
        <f t="shared" ref="F324:F383" si="17">C324</f>
        <v>2.5000000000000001E-2</v>
      </c>
      <c r="G324" s="235"/>
    </row>
    <row r="325" spans="1:7" ht="16.5" x14ac:dyDescent="0.3">
      <c r="A325" s="170" t="s">
        <v>741</v>
      </c>
      <c r="B325" s="245" t="s">
        <v>1615</v>
      </c>
      <c r="C325" s="243">
        <f>27/1000</f>
        <v>2.7E-2</v>
      </c>
      <c r="D325" s="235"/>
      <c r="E325" s="240" t="str">
        <f t="shared" si="16"/>
        <v>14-04 Chuleta de cerdo.          1*3 kgr</v>
      </c>
      <c r="F325" s="241">
        <f t="shared" si="17"/>
        <v>2.7E-2</v>
      </c>
      <c r="G325" s="235"/>
    </row>
    <row r="326" spans="1:7" ht="16.5" x14ac:dyDescent="0.3">
      <c r="A326" s="170" t="s">
        <v>743</v>
      </c>
      <c r="B326" s="245" t="s">
        <v>1326</v>
      </c>
      <c r="C326" s="243">
        <f>44/1000</f>
        <v>4.3999999999999997E-2</v>
      </c>
      <c r="D326" s="235"/>
      <c r="E326" s="240" t="str">
        <f t="shared" si="16"/>
        <v>14-05 Chuleta ahumada de cerdo.        1*3 kgr</v>
      </c>
      <c r="F326" s="241">
        <f t="shared" si="17"/>
        <v>4.3999999999999997E-2</v>
      </c>
      <c r="G326" s="235"/>
    </row>
    <row r="327" spans="1:7" ht="15.75" x14ac:dyDescent="0.3">
      <c r="A327" s="170" t="s">
        <v>745</v>
      </c>
      <c r="B327" s="245" t="s">
        <v>1327</v>
      </c>
      <c r="C327" s="171"/>
      <c r="D327" s="235"/>
      <c r="E327" s="240" t="str">
        <f t="shared" si="16"/>
        <v>14-06 Costilla de cerdo baby rack.       1*3 kgr</v>
      </c>
      <c r="F327" s="241">
        <f t="shared" si="17"/>
        <v>0</v>
      </c>
      <c r="G327" s="235"/>
    </row>
    <row r="328" spans="1:7" ht="16.5" x14ac:dyDescent="0.3">
      <c r="A328" s="170" t="s">
        <v>746</v>
      </c>
      <c r="B328" s="245" t="s">
        <v>1616</v>
      </c>
      <c r="C328" s="243">
        <f>13/1000</f>
        <v>1.2999999999999999E-2</v>
      </c>
      <c r="D328" s="235"/>
      <c r="E328" s="240" t="str">
        <f t="shared" si="16"/>
        <v>14-07 Hueso ahumado picado       1*3 kgr</v>
      </c>
      <c r="F328" s="241">
        <f t="shared" si="17"/>
        <v>1.2999999999999999E-2</v>
      </c>
      <c r="G328" s="235"/>
    </row>
    <row r="329" spans="1:7" ht="16.5" x14ac:dyDescent="0.3">
      <c r="A329" s="170" t="s">
        <v>748</v>
      </c>
      <c r="B329" s="245" t="s">
        <v>1328</v>
      </c>
      <c r="C329" s="243">
        <f>19.69/1000</f>
        <v>1.9690000000000003E-2</v>
      </c>
      <c r="D329" s="235"/>
      <c r="E329" s="240" t="str">
        <f t="shared" si="16"/>
        <v>14-08 Pernil de cerdo con hueso.         Kgr.</v>
      </c>
      <c r="F329" s="241">
        <f t="shared" si="17"/>
        <v>1.9690000000000003E-2</v>
      </c>
      <c r="G329" s="235"/>
    </row>
    <row r="330" spans="1:7" ht="16.5" x14ac:dyDescent="0.3">
      <c r="A330" s="170" t="s">
        <v>750</v>
      </c>
      <c r="B330" s="254" t="s">
        <v>1329</v>
      </c>
      <c r="C330" s="243">
        <f>10.71/1000</f>
        <v>1.0710000000000001E-2</v>
      </c>
      <c r="D330" s="235"/>
      <c r="E330" s="240" t="str">
        <f t="shared" si="16"/>
        <v>14-09 Hueso de cerdo ahumado.         1*3 kgr</v>
      </c>
      <c r="F330" s="241">
        <f t="shared" si="17"/>
        <v>1.0710000000000001E-2</v>
      </c>
      <c r="G330" s="235"/>
    </row>
    <row r="331" spans="1:7" ht="16.5" x14ac:dyDescent="0.3">
      <c r="A331" s="170" t="s">
        <v>752</v>
      </c>
      <c r="B331" s="267" t="s">
        <v>1617</v>
      </c>
      <c r="C331" s="261">
        <f>12/1000</f>
        <v>1.2E-2</v>
      </c>
      <c r="D331" s="235"/>
      <c r="E331" s="240" t="str">
        <f t="shared" si="16"/>
        <v>14-10 Patica de cerdo      1*3 kgr</v>
      </c>
      <c r="F331" s="241">
        <f t="shared" si="17"/>
        <v>1.2E-2</v>
      </c>
      <c r="G331" s="235"/>
    </row>
    <row r="332" spans="1:7" ht="15.75" x14ac:dyDescent="0.3">
      <c r="A332" s="170" t="s">
        <v>754</v>
      </c>
      <c r="B332" s="245" t="s">
        <v>1618</v>
      </c>
      <c r="C332" s="171"/>
      <c r="D332" s="235"/>
      <c r="E332" s="240" t="str">
        <f t="shared" si="16"/>
        <v>14-11 Lechon      ocasión espe.</v>
      </c>
      <c r="F332" s="241">
        <f t="shared" si="17"/>
        <v>0</v>
      </c>
      <c r="G332" s="235"/>
    </row>
    <row r="333" spans="1:7" ht="16.5" x14ac:dyDescent="0.3">
      <c r="A333" s="170" t="s">
        <v>758</v>
      </c>
      <c r="B333" s="245" t="s">
        <v>1619</v>
      </c>
      <c r="C333" s="261">
        <f>25.93/3000</f>
        <v>8.6433333333333327E-3</v>
      </c>
      <c r="D333" s="235"/>
      <c r="E333" s="240" t="str">
        <f t="shared" si="16"/>
        <v>15-01 Bologña de carne.       1*3 kgr</v>
      </c>
      <c r="F333" s="241">
        <f t="shared" si="17"/>
        <v>8.6433333333333327E-3</v>
      </c>
      <c r="G333" s="235"/>
    </row>
    <row r="334" spans="1:7" ht="16.5" x14ac:dyDescent="0.3">
      <c r="A334" s="170" t="s">
        <v>760</v>
      </c>
      <c r="B334" s="245" t="s">
        <v>1620</v>
      </c>
      <c r="C334" s="261">
        <f>24.15/3200</f>
        <v>7.5468749999999998E-3</v>
      </c>
      <c r="D334" s="235"/>
      <c r="E334" s="240" t="str">
        <f t="shared" si="16"/>
        <v>15-02 Bologña de pollo.         1*3 kgr</v>
      </c>
      <c r="F334" s="241">
        <f t="shared" si="17"/>
        <v>7.5468749999999998E-3</v>
      </c>
      <c r="G334" s="235"/>
    </row>
    <row r="335" spans="1:7" ht="16.5" x14ac:dyDescent="0.3">
      <c r="A335" s="170" t="s">
        <v>762</v>
      </c>
      <c r="B335" s="245" t="s">
        <v>1621</v>
      </c>
      <c r="C335" s="243">
        <f>59.82/1000</f>
        <v>5.9819999999999998E-2</v>
      </c>
      <c r="D335" s="235"/>
      <c r="E335" s="240" t="str">
        <f t="shared" si="16"/>
        <v>15-03 Jamon de pierna         1 Barra*5,7 kg</v>
      </c>
      <c r="F335" s="241">
        <f t="shared" si="17"/>
        <v>5.9819999999999998E-2</v>
      </c>
      <c r="G335" s="235"/>
    </row>
    <row r="336" spans="1:7" ht="16.5" x14ac:dyDescent="0.3">
      <c r="A336" s="170" t="s">
        <v>764</v>
      </c>
      <c r="B336" s="245" t="s">
        <v>1622</v>
      </c>
      <c r="C336" s="243">
        <f>36/1000</f>
        <v>3.5999999999999997E-2</v>
      </c>
      <c r="D336" s="235"/>
      <c r="E336" s="240" t="str">
        <f t="shared" si="16"/>
        <v>15-04 Mortadela Tapara .         1 Barra* de 5- 6 kg</v>
      </c>
      <c r="F336" s="241">
        <f t="shared" si="17"/>
        <v>3.5999999999999997E-2</v>
      </c>
      <c r="G336" s="235"/>
    </row>
    <row r="337" spans="1:7" ht="16.5" x14ac:dyDescent="0.3">
      <c r="A337" s="170" t="s">
        <v>766</v>
      </c>
      <c r="B337" s="245" t="s">
        <v>1623</v>
      </c>
      <c r="C337" s="243">
        <f>79.46/1000</f>
        <v>7.9459999999999989E-2</v>
      </c>
      <c r="D337" s="235"/>
      <c r="E337" s="240" t="str">
        <f t="shared" si="16"/>
        <v>15-05 Salchichon Milano         1 kgr</v>
      </c>
      <c r="F337" s="241">
        <f t="shared" si="17"/>
        <v>7.9459999999999989E-2</v>
      </c>
      <c r="G337" s="235"/>
    </row>
    <row r="338" spans="1:7" ht="16.5" x14ac:dyDescent="0.3">
      <c r="A338" s="170" t="s">
        <v>768</v>
      </c>
      <c r="B338" s="245" t="s">
        <v>1624</v>
      </c>
      <c r="C338" s="243">
        <f>52.01/1000</f>
        <v>5.2010000000000001E-2</v>
      </c>
      <c r="D338" s="235"/>
      <c r="E338" s="240" t="str">
        <f t="shared" si="16"/>
        <v>15-06 Salami         2 kgr</v>
      </c>
      <c r="F338" s="241">
        <f t="shared" si="17"/>
        <v>5.2010000000000001E-2</v>
      </c>
      <c r="G338" s="235"/>
    </row>
    <row r="339" spans="1:7" ht="16.5" x14ac:dyDescent="0.3">
      <c r="A339" s="170" t="s">
        <v>770</v>
      </c>
      <c r="B339" s="267" t="s">
        <v>1625</v>
      </c>
      <c r="C339" s="243">
        <f>48.21/1000</f>
        <v>4.8210000000000003E-2</v>
      </c>
      <c r="D339" s="235"/>
      <c r="E339" s="240" t="str">
        <f t="shared" si="16"/>
        <v>15-07 Peperoni         1 kgr</v>
      </c>
      <c r="F339" s="241">
        <f t="shared" si="17"/>
        <v>4.8210000000000003E-2</v>
      </c>
      <c r="G339" s="235"/>
    </row>
    <row r="340" spans="1:7" ht="16.5" x14ac:dyDescent="0.3">
      <c r="A340" s="170" t="s">
        <v>772</v>
      </c>
      <c r="B340" s="267" t="s">
        <v>1626</v>
      </c>
      <c r="C340" s="243">
        <f>45.09/1000</f>
        <v>4.5090000000000005E-2</v>
      </c>
      <c r="D340" s="235"/>
      <c r="E340" s="240" t="str">
        <f t="shared" si="16"/>
        <v>15-08 Tocineta       1 kgr</v>
      </c>
      <c r="F340" s="241">
        <f t="shared" si="17"/>
        <v>4.5090000000000005E-2</v>
      </c>
      <c r="G340" s="235"/>
    </row>
    <row r="341" spans="1:7" ht="15.75" x14ac:dyDescent="0.3">
      <c r="A341" s="170" t="s">
        <v>774</v>
      </c>
      <c r="B341" s="245" t="s">
        <v>1330</v>
      </c>
      <c r="C341" s="169">
        <v>20.189166666666669</v>
      </c>
      <c r="D341" s="235"/>
      <c r="E341" s="240" t="str">
        <f t="shared" si="16"/>
        <v>15-09 Salchichas para perro calientes.  1*12*450 Gr</v>
      </c>
      <c r="F341" s="241">
        <f t="shared" si="17"/>
        <v>20.189166666666669</v>
      </c>
      <c r="G341" s="235"/>
    </row>
    <row r="342" spans="1:7" ht="15.75" x14ac:dyDescent="0.3">
      <c r="A342" s="170" t="s">
        <v>777</v>
      </c>
      <c r="B342" s="267" t="s">
        <v>1627</v>
      </c>
      <c r="C342" s="169">
        <v>24.605833333333333</v>
      </c>
      <c r="D342" s="235"/>
      <c r="E342" s="240" t="str">
        <f t="shared" si="16"/>
        <v>15-10 Salchicha tipo Jumbo         1*12*450 Gr</v>
      </c>
      <c r="F342" s="241">
        <f t="shared" si="17"/>
        <v>24.605833333333333</v>
      </c>
      <c r="G342" s="235"/>
    </row>
    <row r="343" spans="1:7" ht="15.75" x14ac:dyDescent="0.3">
      <c r="A343" s="170" t="s">
        <v>1248</v>
      </c>
      <c r="B343" s="267" t="s">
        <v>1628</v>
      </c>
      <c r="C343" s="169">
        <v>24.61</v>
      </c>
      <c r="D343" s="235"/>
      <c r="E343" s="240" t="str">
        <f t="shared" si="16"/>
        <v>15-11 Salchicha tipo polaca       1*12*450 Gr</v>
      </c>
      <c r="F343" s="241">
        <f t="shared" si="17"/>
        <v>24.61</v>
      </c>
      <c r="G343" s="235"/>
    </row>
    <row r="344" spans="1:7" ht="15.75" x14ac:dyDescent="0.3">
      <c r="A344" s="170" t="s">
        <v>1249</v>
      </c>
      <c r="B344" s="267" t="s">
        <v>1331</v>
      </c>
      <c r="C344" s="169">
        <v>24.61</v>
      </c>
      <c r="D344" s="235"/>
      <c r="E344" s="240" t="str">
        <f t="shared" si="16"/>
        <v>15-12 Salchicha tipo campesina           1*12*450 Gr</v>
      </c>
      <c r="F344" s="241">
        <f t="shared" si="17"/>
        <v>24.61</v>
      </c>
      <c r="G344" s="235"/>
    </row>
    <row r="345" spans="1:7" ht="15.75" x14ac:dyDescent="0.3">
      <c r="A345" s="170" t="s">
        <v>1250</v>
      </c>
      <c r="B345" s="267" t="s">
        <v>1629</v>
      </c>
      <c r="C345" s="169">
        <v>24.61</v>
      </c>
      <c r="D345" s="235"/>
      <c r="E345" s="240" t="str">
        <f t="shared" si="16"/>
        <v>15-13 Salchicha tipo hungara            1*12*450 Gr</v>
      </c>
      <c r="F345" s="241">
        <f t="shared" si="17"/>
        <v>24.61</v>
      </c>
      <c r="G345" s="235"/>
    </row>
    <row r="346" spans="1:7" ht="15.75" x14ac:dyDescent="0.3">
      <c r="A346" s="170" t="s">
        <v>1251</v>
      </c>
      <c r="B346" s="267" t="s">
        <v>1630</v>
      </c>
      <c r="C346" s="169">
        <v>24.61</v>
      </c>
      <c r="D346" s="235"/>
      <c r="E346" s="240" t="str">
        <f t="shared" si="16"/>
        <v>15-14 Salchicha tipo winer            1*12*450 Gr</v>
      </c>
      <c r="F346" s="241">
        <f t="shared" si="17"/>
        <v>24.61</v>
      </c>
      <c r="G346" s="235"/>
    </row>
    <row r="347" spans="1:7" ht="15.75" x14ac:dyDescent="0.3">
      <c r="A347" s="170" t="s">
        <v>1252</v>
      </c>
      <c r="B347" s="245" t="s">
        <v>1631</v>
      </c>
      <c r="C347" s="169">
        <v>24.61</v>
      </c>
      <c r="D347" s="235"/>
      <c r="E347" s="240" t="str">
        <f t="shared" si="16"/>
        <v>15-15 Salchicha tipo alemana.           1*12*450 Gr</v>
      </c>
      <c r="F347" s="241">
        <f t="shared" si="17"/>
        <v>24.61</v>
      </c>
      <c r="G347" s="235"/>
    </row>
    <row r="348" spans="1:7" ht="16.5" x14ac:dyDescent="0.3">
      <c r="A348" s="170" t="s">
        <v>781</v>
      </c>
      <c r="B348" s="245" t="s">
        <v>1632</v>
      </c>
      <c r="C348" s="243">
        <f>15.5/1000</f>
        <v>1.55E-2</v>
      </c>
      <c r="D348" s="235"/>
      <c r="E348" s="240" t="str">
        <f t="shared" si="16"/>
        <v xml:space="preserve">16-01 Gallina entera ( 3 - 7 kls.)          Und/kgr. </v>
      </c>
      <c r="F348" s="241">
        <f t="shared" si="17"/>
        <v>1.55E-2</v>
      </c>
      <c r="G348" s="235"/>
    </row>
    <row r="349" spans="1:7" ht="16.5" x14ac:dyDescent="0.3">
      <c r="A349" s="170" t="s">
        <v>783</v>
      </c>
      <c r="B349" s="267" t="s">
        <v>1335</v>
      </c>
      <c r="C349" s="243">
        <f>11.5/1000</f>
        <v>1.15E-2</v>
      </c>
      <c r="D349" s="235"/>
      <c r="E349" s="240" t="str">
        <f t="shared" si="16"/>
        <v xml:space="preserve">16-02 Pollo entero ( 1,9 - 2,2 kls.)          Und/kgr. </v>
      </c>
      <c r="F349" s="241">
        <f t="shared" si="17"/>
        <v>1.15E-2</v>
      </c>
      <c r="G349" s="235"/>
    </row>
    <row r="350" spans="1:7" ht="15.75" x14ac:dyDescent="0.3">
      <c r="A350" s="170" t="s">
        <v>785</v>
      </c>
      <c r="B350" s="267" t="s">
        <v>1336</v>
      </c>
      <c r="C350" s="171"/>
      <c r="D350" s="235"/>
      <c r="E350" s="240" t="str">
        <f t="shared" si="16"/>
        <v xml:space="preserve">16-03 Filet de pollo. (125 gr- 185 gr)       Und/kgr. </v>
      </c>
      <c r="F350" s="241">
        <f t="shared" si="17"/>
        <v>0</v>
      </c>
      <c r="G350" s="235"/>
    </row>
    <row r="351" spans="1:7" ht="16.5" x14ac:dyDescent="0.3">
      <c r="A351" s="170" t="s">
        <v>787</v>
      </c>
      <c r="B351" s="267" t="s">
        <v>1633</v>
      </c>
      <c r="C351" s="243">
        <f>20/1000</f>
        <v>0.02</v>
      </c>
      <c r="D351" s="235"/>
      <c r="E351" s="240" t="str">
        <f t="shared" si="16"/>
        <v xml:space="preserve">16-04 Alas de Pavo          Und/kgr. </v>
      </c>
      <c r="F351" s="241">
        <f t="shared" si="17"/>
        <v>0.02</v>
      </c>
      <c r="G351" s="235"/>
    </row>
    <row r="352" spans="1:7" ht="15.75" x14ac:dyDescent="0.3">
      <c r="A352" s="170" t="s">
        <v>789</v>
      </c>
      <c r="B352" s="267" t="s">
        <v>1337</v>
      </c>
      <c r="C352" s="171">
        <f>50/100</f>
        <v>0.5</v>
      </c>
      <c r="D352" s="235"/>
      <c r="E352" s="240" t="str">
        <f t="shared" si="16"/>
        <v xml:space="preserve">16-05 Filet de Pavo (125 gr- 185 gr)       Und/kgr. </v>
      </c>
      <c r="F352" s="241">
        <f t="shared" si="17"/>
        <v>0.5</v>
      </c>
      <c r="G352" s="235"/>
    </row>
    <row r="353" spans="1:7" ht="15.75" x14ac:dyDescent="0.3">
      <c r="A353" s="170" t="s">
        <v>1332</v>
      </c>
      <c r="B353" s="267" t="s">
        <v>1634</v>
      </c>
      <c r="C353" s="171">
        <f>45/1000</f>
        <v>4.4999999999999998E-2</v>
      </c>
      <c r="D353" s="235"/>
      <c r="E353" s="240" t="str">
        <f t="shared" si="16"/>
        <v xml:space="preserve">16-06 Muslo de Pavo.      Und/kgr. </v>
      </c>
      <c r="F353" s="241">
        <f t="shared" si="17"/>
        <v>4.4999999999999998E-2</v>
      </c>
      <c r="G353" s="235"/>
    </row>
    <row r="354" spans="1:7" ht="15.75" x14ac:dyDescent="0.3">
      <c r="A354" s="170" t="s">
        <v>1333</v>
      </c>
      <c r="B354" s="267" t="s">
        <v>1635</v>
      </c>
      <c r="C354" s="171">
        <f>45/1000</f>
        <v>4.4999999999999998E-2</v>
      </c>
      <c r="D354" s="235"/>
      <c r="E354" s="240" t="str">
        <f t="shared" si="16"/>
        <v xml:space="preserve">16-07 Piernas de Pavo.        Und/kgr. </v>
      </c>
      <c r="F354" s="241">
        <f t="shared" si="17"/>
        <v>4.4999999999999998E-2</v>
      </c>
      <c r="G354" s="235"/>
    </row>
    <row r="355" spans="1:7" ht="15.75" x14ac:dyDescent="0.3">
      <c r="A355" s="271" t="s">
        <v>1334</v>
      </c>
      <c r="B355" s="245" t="s">
        <v>1636</v>
      </c>
      <c r="C355" s="171">
        <f>40/1000</f>
        <v>0.04</v>
      </c>
      <c r="D355" s="235"/>
      <c r="E355" s="240" t="str">
        <f t="shared" si="16"/>
        <v xml:space="preserve">16-08 Pavo entero ( 5 - 7 kls.)          Und/kgr. </v>
      </c>
      <c r="F355" s="241">
        <f t="shared" si="17"/>
        <v>0.04</v>
      </c>
      <c r="G355" s="235"/>
    </row>
    <row r="356" spans="1:7" ht="16.5" x14ac:dyDescent="0.3">
      <c r="A356" s="264" t="s">
        <v>793</v>
      </c>
      <c r="B356" s="265" t="s">
        <v>1637</v>
      </c>
      <c r="C356" s="243">
        <f>38/1000</f>
        <v>3.7999999999999999E-2</v>
      </c>
      <c r="D356" s="235"/>
      <c r="E356" s="240" t="str">
        <f t="shared" si="16"/>
        <v>17-01 Atun churrasco           Empacado al vacio</v>
      </c>
      <c r="F356" s="241">
        <f t="shared" si="17"/>
        <v>3.7999999999999999E-2</v>
      </c>
      <c r="G356" s="235"/>
    </row>
    <row r="357" spans="1:7" ht="16.5" x14ac:dyDescent="0.3">
      <c r="A357" s="264" t="s">
        <v>795</v>
      </c>
      <c r="B357" s="245" t="s">
        <v>1638</v>
      </c>
      <c r="C357" s="243">
        <f>39/1000</f>
        <v>3.9E-2</v>
      </c>
      <c r="D357" s="235"/>
      <c r="E357" s="240" t="str">
        <f t="shared" si="16"/>
        <v>17-02 Carite  en rueda           Bandejas 2,5-3 kg</v>
      </c>
      <c r="F357" s="241">
        <f t="shared" si="17"/>
        <v>3.9E-2</v>
      </c>
      <c r="G357" s="235"/>
    </row>
    <row r="358" spans="1:7" ht="15.75" x14ac:dyDescent="0.3">
      <c r="A358" s="264" t="s">
        <v>797</v>
      </c>
      <c r="B358" s="245" t="s">
        <v>1639</v>
      </c>
      <c r="C358" s="169">
        <v>0</v>
      </c>
      <c r="D358" s="235"/>
      <c r="E358" s="240" t="str">
        <f t="shared" si="16"/>
        <v>17-03 Carite para sopa         Bandejas 2,5-3 kg</v>
      </c>
      <c r="F358" s="241">
        <f t="shared" si="17"/>
        <v>0</v>
      </c>
      <c r="G358" s="235"/>
    </row>
    <row r="359" spans="1:7" ht="15.75" x14ac:dyDescent="0.3">
      <c r="A359" s="264" t="s">
        <v>799</v>
      </c>
      <c r="B359" s="245" t="s">
        <v>1640</v>
      </c>
      <c r="C359" s="169">
        <v>0</v>
      </c>
      <c r="D359" s="235"/>
      <c r="E359" s="240" t="str">
        <f t="shared" si="16"/>
        <v>17-04 Catalana entera             Bandejas 2,5-3 kg</v>
      </c>
      <c r="F359" s="241">
        <f t="shared" si="17"/>
        <v>0</v>
      </c>
      <c r="G359" s="235"/>
    </row>
    <row r="360" spans="1:7" ht="16.5" x14ac:dyDescent="0.3">
      <c r="A360" s="264" t="s">
        <v>801</v>
      </c>
      <c r="B360" s="245" t="s">
        <v>1641</v>
      </c>
      <c r="C360" s="243">
        <f>26/1000</f>
        <v>2.5999999999999999E-2</v>
      </c>
      <c r="D360" s="235"/>
      <c r="E360" s="240" t="str">
        <f t="shared" si="16"/>
        <v>17-05 Cazon.         Ración</v>
      </c>
      <c r="F360" s="241">
        <f t="shared" si="17"/>
        <v>2.5999999999999999E-2</v>
      </c>
      <c r="G360" s="235"/>
    </row>
    <row r="361" spans="1:7" ht="16.5" x14ac:dyDescent="0.3">
      <c r="A361" s="264" t="s">
        <v>803</v>
      </c>
      <c r="B361" s="245" t="s">
        <v>1642</v>
      </c>
      <c r="C361" s="243">
        <f>40/1000</f>
        <v>0.04</v>
      </c>
      <c r="D361" s="235"/>
      <c r="E361" s="240" t="str">
        <f t="shared" si="16"/>
        <v>17-06 Dorado En rueda           Bandejas 2,5-3 kg</v>
      </c>
      <c r="F361" s="241">
        <f t="shared" si="17"/>
        <v>0.04</v>
      </c>
      <c r="G361" s="235"/>
    </row>
    <row r="362" spans="1:7" ht="16.5" x14ac:dyDescent="0.3">
      <c r="A362" s="264" t="s">
        <v>805</v>
      </c>
      <c r="B362" s="245" t="s">
        <v>1643</v>
      </c>
      <c r="C362" s="243">
        <f>32/1000</f>
        <v>3.2000000000000001E-2</v>
      </c>
      <c r="D362" s="235"/>
      <c r="E362" s="240" t="str">
        <f t="shared" si="16"/>
        <v>17-07 Filet de corvina.            Bandejas 2,5-3 kg</v>
      </c>
      <c r="F362" s="241">
        <f t="shared" si="17"/>
        <v>3.2000000000000001E-2</v>
      </c>
      <c r="G362" s="235"/>
    </row>
    <row r="363" spans="1:7" ht="15.75" x14ac:dyDescent="0.3">
      <c r="A363" s="264" t="s">
        <v>807</v>
      </c>
      <c r="B363" s="245" t="s">
        <v>1644</v>
      </c>
      <c r="C363" s="169">
        <f>38.88/1000</f>
        <v>3.8880000000000005E-2</v>
      </c>
      <c r="D363" s="235"/>
      <c r="E363" s="240" t="str">
        <f t="shared" si="16"/>
        <v>17-08 Filet de dorado           Bandejas 2,5-3 kg</v>
      </c>
      <c r="F363" s="241">
        <f t="shared" si="17"/>
        <v>3.8880000000000005E-2</v>
      </c>
      <c r="G363" s="235"/>
    </row>
    <row r="364" spans="1:7" ht="15.75" x14ac:dyDescent="0.3">
      <c r="A364" s="264" t="s">
        <v>809</v>
      </c>
      <c r="B364" s="272" t="s">
        <v>1645</v>
      </c>
      <c r="C364" s="171"/>
      <c r="D364" s="235"/>
      <c r="E364" s="240" t="str">
        <f t="shared" si="16"/>
        <v>17-09 Filet de Merluza             Bandejas 2,5-3 kg</v>
      </c>
      <c r="F364" s="241">
        <f t="shared" si="17"/>
        <v>0</v>
      </c>
      <c r="G364" s="235"/>
    </row>
    <row r="365" spans="1:7" ht="16.5" x14ac:dyDescent="0.3">
      <c r="A365" s="264" t="s">
        <v>811</v>
      </c>
      <c r="B365" s="254" t="s">
        <v>1646</v>
      </c>
      <c r="C365" s="243">
        <f>58/1000</f>
        <v>5.8000000000000003E-2</v>
      </c>
      <c r="D365" s="235"/>
      <c r="E365" s="240" t="str">
        <f t="shared" si="16"/>
        <v>17-10 Mero              Bandejas 2,5-3 kg</v>
      </c>
      <c r="F365" s="241">
        <f t="shared" si="17"/>
        <v>5.8000000000000003E-2</v>
      </c>
      <c r="G365" s="235"/>
    </row>
    <row r="366" spans="1:7" ht="16.5" x14ac:dyDescent="0.3">
      <c r="A366" s="264" t="s">
        <v>813</v>
      </c>
      <c r="B366" s="254" t="s">
        <v>1647</v>
      </c>
      <c r="C366" s="243">
        <f>45/1000</f>
        <v>4.4999999999999998E-2</v>
      </c>
      <c r="D366" s="235"/>
      <c r="E366" s="240" t="str">
        <f t="shared" si="16"/>
        <v>17-11 Pargo entero               Bandejas 2,5-3 kg</v>
      </c>
      <c r="F366" s="241">
        <f t="shared" si="17"/>
        <v>4.4999999999999998E-2</v>
      </c>
      <c r="G366" s="235"/>
    </row>
    <row r="367" spans="1:7" ht="16.5" x14ac:dyDescent="0.3">
      <c r="A367" s="264" t="s">
        <v>815</v>
      </c>
      <c r="B367" s="254" t="s">
        <v>1648</v>
      </c>
      <c r="C367" s="243">
        <f>42/1000</f>
        <v>4.2000000000000003E-2</v>
      </c>
      <c r="D367" s="235"/>
      <c r="E367" s="240" t="str">
        <f t="shared" si="16"/>
        <v>17-12 Parguito entero          Bandejas 2,5-3 kg</v>
      </c>
      <c r="F367" s="241">
        <f t="shared" si="17"/>
        <v>4.2000000000000003E-2</v>
      </c>
      <c r="G367" s="235"/>
    </row>
    <row r="368" spans="1:7" ht="16.5" x14ac:dyDescent="0.3">
      <c r="A368" s="264" t="s">
        <v>817</v>
      </c>
      <c r="B368" s="245" t="s">
        <v>1649</v>
      </c>
      <c r="C368" s="243">
        <f>37.78/1000</f>
        <v>3.7780000000000001E-2</v>
      </c>
      <c r="D368" s="235"/>
      <c r="E368" s="240" t="str">
        <f t="shared" si="16"/>
        <v>17-13 Pez espada             Bandejas 2,5-3 kg</v>
      </c>
      <c r="F368" s="241">
        <f t="shared" si="17"/>
        <v>3.7780000000000001E-2</v>
      </c>
      <c r="G368" s="235"/>
    </row>
    <row r="369" spans="1:7" ht="16.5" x14ac:dyDescent="0.3">
      <c r="A369" s="264" t="s">
        <v>819</v>
      </c>
      <c r="B369" s="245" t="s">
        <v>1650</v>
      </c>
      <c r="C369" s="243">
        <f>29/1000</f>
        <v>2.9000000000000001E-2</v>
      </c>
      <c r="D369" s="235"/>
      <c r="E369" s="240" t="str">
        <f t="shared" si="16"/>
        <v>17-14 Robalo entero            Bandejas 2,5-3 kg</v>
      </c>
      <c r="F369" s="241">
        <f t="shared" si="17"/>
        <v>2.9000000000000001E-2</v>
      </c>
      <c r="G369" s="235"/>
    </row>
    <row r="370" spans="1:7" ht="16.5" x14ac:dyDescent="0.3">
      <c r="A370" s="264" t="s">
        <v>821</v>
      </c>
      <c r="B370" s="245" t="s">
        <v>1651</v>
      </c>
      <c r="C370" s="243">
        <f>37.76/1000</f>
        <v>3.7759999999999995E-2</v>
      </c>
      <c r="D370" s="235"/>
      <c r="E370" s="240" t="str">
        <f t="shared" si="16"/>
        <v>17-15 Roncador            Bandejas 2,5-3 kg</v>
      </c>
      <c r="F370" s="241">
        <f t="shared" si="17"/>
        <v>3.7759999999999995E-2</v>
      </c>
      <c r="G370" s="235"/>
    </row>
    <row r="371" spans="1:7" ht="16.5" x14ac:dyDescent="0.3">
      <c r="A371" s="264" t="s">
        <v>823</v>
      </c>
      <c r="B371" s="245" t="s">
        <v>1652</v>
      </c>
      <c r="C371" s="243">
        <f>43/1000</f>
        <v>4.2999999999999997E-2</v>
      </c>
      <c r="D371" s="235"/>
      <c r="E371" s="240" t="str">
        <f t="shared" si="16"/>
        <v>17-16 Sierra en Rueda               Bandejas 2,5-3 kg</v>
      </c>
      <c r="F371" s="241">
        <f t="shared" si="17"/>
        <v>4.2999999999999997E-2</v>
      </c>
      <c r="G371" s="235"/>
    </row>
    <row r="372" spans="1:7" ht="15.75" x14ac:dyDescent="0.3">
      <c r="A372" s="264" t="s">
        <v>825</v>
      </c>
      <c r="B372" s="245" t="s">
        <v>1653</v>
      </c>
      <c r="C372" s="169">
        <f>32/1000</f>
        <v>3.2000000000000001E-2</v>
      </c>
      <c r="D372" s="235"/>
      <c r="E372" s="240" t="str">
        <f t="shared" si="16"/>
        <v>17-17 Salmón en filet.             Bandejas 2,5-3 kg</v>
      </c>
      <c r="F372" s="241">
        <f t="shared" si="17"/>
        <v>3.2000000000000001E-2</v>
      </c>
      <c r="G372" s="235"/>
    </row>
    <row r="373" spans="1:7" ht="15.75" x14ac:dyDescent="0.3">
      <c r="A373" s="264" t="s">
        <v>827</v>
      </c>
      <c r="B373" s="245" t="s">
        <v>1654</v>
      </c>
      <c r="C373" s="169">
        <f>52/1000</f>
        <v>5.1999999999999998E-2</v>
      </c>
      <c r="D373" s="235"/>
      <c r="E373" s="240" t="str">
        <f t="shared" si="16"/>
        <v>17-18 Salmon entero           Bandejas 2,5-3 kg</v>
      </c>
      <c r="F373" s="241">
        <f t="shared" si="17"/>
        <v>5.1999999999999998E-2</v>
      </c>
      <c r="G373" s="235"/>
    </row>
    <row r="374" spans="1:7" ht="16.5" x14ac:dyDescent="0.3">
      <c r="A374" s="170" t="s">
        <v>833</v>
      </c>
      <c r="B374" s="245" t="s">
        <v>1655</v>
      </c>
      <c r="C374" s="243">
        <f>15/1000</f>
        <v>1.4999999999999999E-2</v>
      </c>
      <c r="D374" s="235"/>
      <c r="E374" s="240" t="str">
        <f t="shared" si="16"/>
        <v>18-01 Cangrejo.            Bandejas 2,5-3 kg</v>
      </c>
      <c r="F374" s="241">
        <f t="shared" si="17"/>
        <v>1.4999999999999999E-2</v>
      </c>
      <c r="G374" s="235"/>
    </row>
    <row r="375" spans="1:7" ht="16.5" x14ac:dyDescent="0.3">
      <c r="A375" s="170" t="s">
        <v>835</v>
      </c>
      <c r="B375" s="245" t="s">
        <v>1656</v>
      </c>
      <c r="C375" s="243">
        <f>65/1000</f>
        <v>6.5000000000000002E-2</v>
      </c>
      <c r="D375" s="235"/>
      <c r="E375" s="240" t="str">
        <f t="shared" si="16"/>
        <v>18-02 Camarones.          Bandejas 2,5-3 kg</v>
      </c>
      <c r="F375" s="241">
        <f t="shared" si="17"/>
        <v>6.5000000000000002E-2</v>
      </c>
      <c r="G375" s="235"/>
    </row>
    <row r="376" spans="1:7" ht="16.5" x14ac:dyDescent="0.3">
      <c r="A376" s="170" t="s">
        <v>837</v>
      </c>
      <c r="B376" s="245" t="s">
        <v>1657</v>
      </c>
      <c r="C376" s="243">
        <f>26/1000</f>
        <v>2.5999999999999999E-2</v>
      </c>
      <c r="D376" s="235"/>
      <c r="E376" s="240" t="str">
        <f t="shared" si="16"/>
        <v>18-03 Calamares.            Bandejas 2,5-3 kg</v>
      </c>
      <c r="F376" s="241">
        <f t="shared" si="17"/>
        <v>2.5999999999999999E-2</v>
      </c>
      <c r="G376" s="235"/>
    </row>
    <row r="377" spans="1:7" ht="16.5" x14ac:dyDescent="0.3">
      <c r="A377" s="170" t="s">
        <v>839</v>
      </c>
      <c r="B377" s="245" t="s">
        <v>1658</v>
      </c>
      <c r="C377" s="243">
        <f>18/1000</f>
        <v>1.7999999999999999E-2</v>
      </c>
      <c r="D377" s="235"/>
      <c r="E377" s="240" t="str">
        <f t="shared" si="16"/>
        <v>18-04 Calamar en Tentáculos            Bandejas 2,5-3 kg</v>
      </c>
      <c r="F377" s="241">
        <f t="shared" si="17"/>
        <v>1.7999999999999999E-2</v>
      </c>
      <c r="G377" s="235"/>
    </row>
    <row r="378" spans="1:7" ht="16.5" x14ac:dyDescent="0.3">
      <c r="A378" s="170" t="s">
        <v>841</v>
      </c>
      <c r="B378" s="245" t="s">
        <v>1659</v>
      </c>
      <c r="C378" s="243">
        <f>37.76/1000</f>
        <v>3.7759999999999995E-2</v>
      </c>
      <c r="D378" s="235"/>
      <c r="E378" s="240" t="str">
        <f t="shared" si="16"/>
        <v>18-05 Calamar en Boton.          Bandejas 2,5-3 kg</v>
      </c>
      <c r="F378" s="241">
        <f t="shared" si="17"/>
        <v>3.7759999999999995E-2</v>
      </c>
      <c r="G378" s="235"/>
    </row>
    <row r="379" spans="1:7" ht="16.5" x14ac:dyDescent="0.3">
      <c r="A379" s="170" t="s">
        <v>843</v>
      </c>
      <c r="B379" s="245" t="s">
        <v>1660</v>
      </c>
      <c r="C379" s="243">
        <f>80/1000</f>
        <v>0.08</v>
      </c>
      <c r="D379" s="235"/>
      <c r="E379" s="240" t="str">
        <f t="shared" si="16"/>
        <v>18-06 Langostinos.            Bandejas 2,5-3 kg</v>
      </c>
      <c r="F379" s="241">
        <f t="shared" si="17"/>
        <v>0.08</v>
      </c>
      <c r="G379" s="235"/>
    </row>
    <row r="380" spans="1:7" ht="16.5" x14ac:dyDescent="0.3">
      <c r="A380" s="170" t="s">
        <v>845</v>
      </c>
      <c r="B380" s="245" t="s">
        <v>1661</v>
      </c>
      <c r="C380" s="243">
        <f>32/1000</f>
        <v>3.2000000000000001E-2</v>
      </c>
      <c r="D380" s="235"/>
      <c r="E380" s="240" t="str">
        <f t="shared" si="16"/>
        <v>18-07 Mejillones limpios.          Bandejas 2,5-3 kg</v>
      </c>
      <c r="F380" s="241">
        <f t="shared" si="17"/>
        <v>3.2000000000000001E-2</v>
      </c>
      <c r="G380" s="235"/>
    </row>
    <row r="381" spans="1:7" ht="16.5" x14ac:dyDescent="0.3">
      <c r="A381" s="170" t="s">
        <v>847</v>
      </c>
      <c r="B381" s="245" t="s">
        <v>1662</v>
      </c>
      <c r="C381" s="243">
        <f>12/1000</f>
        <v>1.2E-2</v>
      </c>
      <c r="D381" s="235"/>
      <c r="E381" s="240" t="str">
        <f t="shared" si="16"/>
        <v>18-08 Mejillon en concha.          Bandejas 2,5-3 kg</v>
      </c>
      <c r="F381" s="241">
        <f t="shared" si="17"/>
        <v>1.2E-2</v>
      </c>
      <c r="G381" s="235"/>
    </row>
    <row r="382" spans="1:7" ht="16.5" x14ac:dyDescent="0.3">
      <c r="A382" s="170" t="s">
        <v>849</v>
      </c>
      <c r="B382" s="245" t="s">
        <v>1663</v>
      </c>
      <c r="C382" s="243">
        <f>32/1000</f>
        <v>3.2000000000000001E-2</v>
      </c>
      <c r="D382" s="235"/>
      <c r="E382" s="240" t="str">
        <f t="shared" si="16"/>
        <v>18-09 Pulpo.          Bandejas 2,5-3 kg</v>
      </c>
      <c r="F382" s="241">
        <f t="shared" si="17"/>
        <v>3.2000000000000001E-2</v>
      </c>
      <c r="G382" s="235"/>
    </row>
    <row r="383" spans="1:7" ht="16.5" x14ac:dyDescent="0.3">
      <c r="A383" s="170" t="s">
        <v>852</v>
      </c>
      <c r="B383" s="245" t="s">
        <v>1664</v>
      </c>
      <c r="C383" s="243">
        <f>5.11/1000</f>
        <v>5.11E-3</v>
      </c>
      <c r="D383" s="235"/>
      <c r="E383" s="240" t="str">
        <f t="shared" si="16"/>
        <v>18-10 Pepitona.        Bandejas 2,5-3 kg</v>
      </c>
      <c r="F383" s="241">
        <f t="shared" si="17"/>
        <v>5.11E-3</v>
      </c>
      <c r="G383" s="235"/>
    </row>
    <row r="384" spans="1:7" ht="16.5" x14ac:dyDescent="0.3">
      <c r="A384" s="250"/>
      <c r="B384" s="251"/>
      <c r="C384" s="246"/>
      <c r="D384" s="235"/>
      <c r="E384" s="240"/>
      <c r="F384" s="241"/>
      <c r="G384" s="235"/>
    </row>
    <row r="385" spans="1:7" ht="16.5" x14ac:dyDescent="0.3">
      <c r="A385" s="250"/>
      <c r="B385" s="251"/>
      <c r="C385" s="246"/>
      <c r="D385" s="235"/>
      <c r="E385" s="240"/>
      <c r="F385" s="241"/>
      <c r="G385" s="235"/>
    </row>
    <row r="386" spans="1:7" ht="16.5" x14ac:dyDescent="0.3">
      <c r="A386" s="250"/>
      <c r="B386" s="251"/>
      <c r="C386" s="246"/>
      <c r="D386" s="235"/>
      <c r="E386" s="240"/>
      <c r="F386" s="241"/>
      <c r="G386" s="235"/>
    </row>
    <row r="387" spans="1:7" ht="16.5" x14ac:dyDescent="0.3">
      <c r="A387" s="250"/>
      <c r="B387" s="251"/>
      <c r="C387" s="246"/>
      <c r="D387" s="235"/>
      <c r="E387" s="240"/>
      <c r="F387" s="241"/>
      <c r="G387" s="235"/>
    </row>
    <row r="388" spans="1:7" ht="16.5" x14ac:dyDescent="0.3">
      <c r="A388" s="250"/>
      <c r="B388" s="248"/>
      <c r="C388" s="246"/>
      <c r="D388" s="235"/>
      <c r="E388" s="240"/>
      <c r="F388" s="241"/>
      <c r="G388" s="235"/>
    </row>
    <row r="389" spans="1:7" ht="16.5" x14ac:dyDescent="0.3">
      <c r="A389" s="250"/>
      <c r="B389" s="173"/>
      <c r="C389" s="246"/>
      <c r="D389" s="235"/>
      <c r="E389" s="240"/>
      <c r="F389" s="241"/>
      <c r="G389" s="235"/>
    </row>
    <row r="390" spans="1:7" ht="16.5" x14ac:dyDescent="0.3">
      <c r="A390" s="250"/>
      <c r="B390" s="251"/>
      <c r="C390" s="246"/>
      <c r="D390" s="235"/>
      <c r="E390" s="240"/>
      <c r="F390" s="241"/>
      <c r="G390" s="235"/>
    </row>
    <row r="391" spans="1:7" ht="16.5" x14ac:dyDescent="0.3">
      <c r="A391" s="250"/>
      <c r="B391" s="251"/>
      <c r="C391" s="246"/>
      <c r="D391" s="235"/>
      <c r="E391" s="240"/>
      <c r="F391" s="241"/>
      <c r="G391" s="235"/>
    </row>
    <row r="392" spans="1:7" ht="16.5" x14ac:dyDescent="0.3">
      <c r="A392" s="250"/>
      <c r="B392" s="248"/>
      <c r="C392" s="246"/>
      <c r="D392" s="235"/>
      <c r="E392" s="240"/>
      <c r="F392" s="241"/>
      <c r="G392" s="235"/>
    </row>
    <row r="393" spans="1:7" ht="16.5" x14ac:dyDescent="0.3">
      <c r="A393" s="250"/>
      <c r="B393" s="270"/>
      <c r="C393" s="246"/>
      <c r="D393" s="235"/>
      <c r="E393" s="240"/>
      <c r="F393" s="241"/>
      <c r="G393" s="235"/>
    </row>
    <row r="394" spans="1:7" ht="16.5" x14ac:dyDescent="0.3">
      <c r="A394" s="250"/>
      <c r="B394" s="173"/>
      <c r="C394" s="246"/>
      <c r="D394" s="235"/>
      <c r="E394" s="240"/>
      <c r="F394" s="241"/>
      <c r="G394" s="235"/>
    </row>
    <row r="395" spans="1:7" ht="16.5" x14ac:dyDescent="0.3">
      <c r="A395" s="250"/>
      <c r="B395" s="248"/>
      <c r="C395" s="246"/>
      <c r="D395" s="235"/>
      <c r="E395" s="240"/>
      <c r="F395" s="241"/>
      <c r="G395" s="235"/>
    </row>
    <row r="396" spans="1:7" ht="16.5" x14ac:dyDescent="0.3">
      <c r="A396" s="250"/>
      <c r="B396" s="248"/>
      <c r="C396" s="246"/>
      <c r="D396" s="235"/>
      <c r="E396" s="240"/>
      <c r="F396" s="241"/>
      <c r="G396" s="235"/>
    </row>
    <row r="397" spans="1:7" ht="16.5" x14ac:dyDescent="0.3">
      <c r="A397" s="250"/>
      <c r="B397" s="248"/>
      <c r="C397" s="246"/>
      <c r="D397" s="235"/>
      <c r="E397" s="240"/>
      <c r="F397" s="241"/>
      <c r="G397" s="235"/>
    </row>
    <row r="398" spans="1:7" ht="16.5" x14ac:dyDescent="0.3">
      <c r="A398" s="250"/>
      <c r="B398" s="248"/>
      <c r="C398" s="246"/>
      <c r="D398" s="235"/>
      <c r="E398" s="240"/>
      <c r="F398" s="241"/>
      <c r="G398" s="235"/>
    </row>
    <row r="399" spans="1:7" ht="16.5" x14ac:dyDescent="0.3">
      <c r="A399" s="250"/>
      <c r="B399" s="273"/>
      <c r="C399" s="246"/>
      <c r="D399" s="235"/>
      <c r="E399" s="240"/>
      <c r="F399" s="241"/>
      <c r="G399" s="235"/>
    </row>
    <row r="400" spans="1:7" ht="16.5" x14ac:dyDescent="0.3">
      <c r="A400" s="250"/>
      <c r="B400" s="248"/>
      <c r="C400" s="246"/>
      <c r="D400" s="235"/>
      <c r="E400" s="240"/>
      <c r="F400" s="241"/>
      <c r="G400" s="235"/>
    </row>
    <row r="401" spans="1:7" ht="16.5" x14ac:dyDescent="0.3">
      <c r="A401" s="250"/>
      <c r="B401" s="248"/>
      <c r="C401" s="246"/>
      <c r="D401" s="235"/>
      <c r="E401" s="240"/>
      <c r="F401" s="241"/>
      <c r="G401" s="235"/>
    </row>
    <row r="402" spans="1:7" ht="16.5" x14ac:dyDescent="0.3">
      <c r="A402" s="250"/>
      <c r="B402" s="248"/>
      <c r="C402" s="246"/>
      <c r="D402" s="235"/>
      <c r="E402" s="240"/>
      <c r="F402" s="241"/>
      <c r="G402" s="235"/>
    </row>
    <row r="403" spans="1:7" ht="16.5" x14ac:dyDescent="0.3">
      <c r="A403" s="250"/>
      <c r="B403" s="248"/>
      <c r="C403" s="246"/>
      <c r="D403" s="235"/>
      <c r="E403" s="240"/>
      <c r="F403" s="241"/>
      <c r="G403" s="235"/>
    </row>
    <row r="404" spans="1:7" ht="16.5" x14ac:dyDescent="0.3">
      <c r="A404" s="250"/>
      <c r="B404" s="248"/>
      <c r="C404" s="246"/>
      <c r="D404" s="235"/>
      <c r="E404" s="240"/>
      <c r="F404" s="241"/>
      <c r="G404" s="235"/>
    </row>
    <row r="405" spans="1:7" ht="16.5" x14ac:dyDescent="0.3">
      <c r="A405" s="250"/>
      <c r="B405" s="248"/>
      <c r="C405" s="246"/>
      <c r="D405" s="235"/>
      <c r="E405" s="240"/>
      <c r="F405" s="241"/>
      <c r="G405" s="235"/>
    </row>
    <row r="406" spans="1:7" ht="16.5" x14ac:dyDescent="0.3">
      <c r="A406" s="250"/>
      <c r="B406" s="248"/>
      <c r="C406" s="246"/>
      <c r="D406" s="235"/>
      <c r="E406" s="240"/>
      <c r="F406" s="241"/>
      <c r="G406" s="235"/>
    </row>
    <row r="407" spans="1:7" ht="16.5" x14ac:dyDescent="0.3">
      <c r="A407" s="250"/>
      <c r="B407" s="248"/>
      <c r="C407" s="246"/>
      <c r="D407" s="235"/>
      <c r="E407" s="240"/>
      <c r="F407" s="241"/>
      <c r="G407" s="235"/>
    </row>
    <row r="408" spans="1:7" ht="16.5" x14ac:dyDescent="0.3">
      <c r="A408" s="250"/>
      <c r="B408" s="248"/>
      <c r="C408" s="246"/>
      <c r="D408" s="235"/>
      <c r="E408" s="240"/>
      <c r="F408" s="241"/>
      <c r="G408" s="235"/>
    </row>
    <row r="409" spans="1:7" ht="16.5" x14ac:dyDescent="0.3">
      <c r="A409" s="250"/>
      <c r="B409" s="248"/>
      <c r="C409" s="246"/>
      <c r="D409" s="235"/>
      <c r="E409" s="240"/>
      <c r="F409" s="241"/>
      <c r="G409" s="235"/>
    </row>
    <row r="410" spans="1:7" ht="16.5" x14ac:dyDescent="0.3">
      <c r="A410" s="250"/>
      <c r="B410" s="248"/>
      <c r="C410" s="246"/>
      <c r="D410" s="235"/>
      <c r="E410" s="240"/>
      <c r="F410" s="241"/>
      <c r="G410" s="235"/>
    </row>
    <row r="411" spans="1:7" ht="16.5" x14ac:dyDescent="0.3">
      <c r="A411" s="250"/>
      <c r="B411" s="248"/>
      <c r="C411" s="246"/>
      <c r="D411" s="235"/>
      <c r="E411" s="240"/>
      <c r="F411" s="241"/>
      <c r="G411" s="235"/>
    </row>
    <row r="412" spans="1:7" ht="16.5" x14ac:dyDescent="0.3">
      <c r="A412" s="250"/>
      <c r="B412" s="248"/>
      <c r="C412" s="246"/>
      <c r="D412" s="235"/>
      <c r="E412" s="240"/>
      <c r="F412" s="241"/>
      <c r="G412" s="235"/>
    </row>
    <row r="413" spans="1:7" ht="16.5" x14ac:dyDescent="0.3">
      <c r="A413" s="250"/>
      <c r="B413" s="248"/>
      <c r="C413" s="246"/>
      <c r="D413" s="235"/>
      <c r="E413" s="240"/>
      <c r="F413" s="241"/>
      <c r="G413" s="235"/>
    </row>
    <row r="414" spans="1:7" ht="16.5" x14ac:dyDescent="0.3">
      <c r="A414" s="250"/>
      <c r="B414" s="248"/>
      <c r="C414" s="246"/>
      <c r="D414" s="235"/>
      <c r="E414" s="240"/>
      <c r="F414" s="241"/>
      <c r="G414" s="235"/>
    </row>
    <row r="415" spans="1:7" ht="16.5" x14ac:dyDescent="0.3">
      <c r="A415" s="250"/>
      <c r="B415" s="248"/>
      <c r="C415" s="246"/>
      <c r="D415" s="235"/>
      <c r="E415" s="240"/>
      <c r="F415" s="241"/>
      <c r="G415" s="235"/>
    </row>
    <row r="416" spans="1:7" ht="16.5" x14ac:dyDescent="0.3">
      <c r="A416" s="250"/>
      <c r="B416" s="248"/>
      <c r="C416" s="246"/>
      <c r="D416" s="235"/>
      <c r="E416" s="240"/>
      <c r="F416" s="241"/>
      <c r="G416" s="235"/>
    </row>
    <row r="417" spans="1:7" ht="16.5" x14ac:dyDescent="0.3">
      <c r="A417" s="250"/>
      <c r="B417" s="248"/>
      <c r="C417" s="246"/>
      <c r="D417" s="235"/>
      <c r="E417" s="240"/>
      <c r="F417" s="241"/>
      <c r="G417" s="235"/>
    </row>
    <row r="418" spans="1:7" ht="16.5" x14ac:dyDescent="0.3">
      <c r="A418" s="250"/>
      <c r="B418" s="248"/>
      <c r="C418" s="246"/>
      <c r="D418" s="235"/>
      <c r="E418" s="240"/>
      <c r="F418" s="241"/>
      <c r="G418" s="235"/>
    </row>
    <row r="419" spans="1:7" ht="16.5" x14ac:dyDescent="0.3">
      <c r="A419" s="250"/>
      <c r="B419" s="248"/>
      <c r="C419" s="246"/>
      <c r="D419" s="235"/>
      <c r="E419" s="240"/>
      <c r="F419" s="241"/>
      <c r="G419" s="235"/>
    </row>
    <row r="420" spans="1:7" ht="16.5" x14ac:dyDescent="0.3">
      <c r="A420" s="250"/>
      <c r="B420" s="274"/>
      <c r="C420" s="246"/>
      <c r="D420" s="235"/>
      <c r="E420" s="240"/>
      <c r="F420" s="241"/>
      <c r="G420" s="235"/>
    </row>
    <row r="421" spans="1:7" ht="16.5" x14ac:dyDescent="0.3">
      <c r="A421" s="250"/>
      <c r="B421" s="274"/>
      <c r="C421" s="246"/>
      <c r="D421" s="235"/>
      <c r="E421" s="240"/>
      <c r="F421" s="241"/>
      <c r="G421" s="235"/>
    </row>
    <row r="422" spans="1:7" ht="16.5" x14ac:dyDescent="0.3">
      <c r="A422" s="250"/>
      <c r="B422" s="274"/>
      <c r="C422" s="246"/>
      <c r="D422" s="235"/>
      <c r="E422" s="240"/>
      <c r="F422" s="241"/>
      <c r="G422" s="235"/>
    </row>
    <row r="423" spans="1:7" ht="16.5" x14ac:dyDescent="0.3">
      <c r="A423" s="250"/>
      <c r="B423" s="274"/>
      <c r="C423" s="246"/>
      <c r="D423" s="235"/>
      <c r="E423" s="240"/>
      <c r="F423" s="241"/>
      <c r="G423" s="235"/>
    </row>
    <row r="424" spans="1:7" ht="16.5" x14ac:dyDescent="0.3">
      <c r="A424" s="250"/>
      <c r="B424" s="274"/>
      <c r="C424" s="246"/>
      <c r="D424" s="235"/>
      <c r="E424" s="240"/>
      <c r="F424" s="241"/>
      <c r="G424" s="235"/>
    </row>
    <row r="425" spans="1:7" ht="16.5" x14ac:dyDescent="0.3">
      <c r="A425" s="250"/>
      <c r="B425" s="274"/>
      <c r="C425" s="246"/>
      <c r="D425" s="235"/>
      <c r="E425" s="240"/>
      <c r="F425" s="241"/>
      <c r="G425" s="235"/>
    </row>
    <row r="426" spans="1:7" ht="16.5" x14ac:dyDescent="0.3">
      <c r="A426" s="250"/>
      <c r="B426" s="275"/>
      <c r="C426" s="246"/>
      <c r="D426" s="235"/>
      <c r="E426" s="240" t="str">
        <f t="shared" ref="E426:E456" si="18">A426&amp;" "&amp;B426</f>
        <v xml:space="preserve"> </v>
      </c>
      <c r="F426" s="241">
        <f t="shared" ref="F426:F456" si="19">C426</f>
        <v>0</v>
      </c>
      <c r="G426" s="235"/>
    </row>
    <row r="427" spans="1:7" ht="16.5" x14ac:dyDescent="0.3">
      <c r="A427" s="250"/>
      <c r="B427" s="275"/>
      <c r="C427" s="246"/>
      <c r="D427" s="235"/>
      <c r="E427" s="240" t="str">
        <f t="shared" si="18"/>
        <v xml:space="preserve"> </v>
      </c>
      <c r="F427" s="241">
        <f t="shared" si="19"/>
        <v>0</v>
      </c>
      <c r="G427" s="235"/>
    </row>
    <row r="428" spans="1:7" ht="16.5" x14ac:dyDescent="0.3">
      <c r="A428" s="250"/>
      <c r="B428" s="275"/>
      <c r="C428" s="246"/>
      <c r="D428" s="235"/>
      <c r="E428" s="240" t="str">
        <f t="shared" si="18"/>
        <v xml:space="preserve"> </v>
      </c>
      <c r="F428" s="241">
        <f t="shared" si="19"/>
        <v>0</v>
      </c>
      <c r="G428" s="235"/>
    </row>
    <row r="429" spans="1:7" ht="16.5" x14ac:dyDescent="0.3">
      <c r="A429" s="250"/>
      <c r="B429" s="275"/>
      <c r="C429" s="246"/>
      <c r="D429" s="235"/>
      <c r="E429" s="240" t="str">
        <f t="shared" si="18"/>
        <v xml:space="preserve"> </v>
      </c>
      <c r="F429" s="241">
        <f t="shared" si="19"/>
        <v>0</v>
      </c>
      <c r="G429" s="235"/>
    </row>
    <row r="430" spans="1:7" ht="16.5" x14ac:dyDescent="0.3">
      <c r="A430" s="250"/>
      <c r="B430" s="275"/>
      <c r="C430" s="246"/>
      <c r="D430" s="235"/>
      <c r="E430" s="240" t="str">
        <f t="shared" si="18"/>
        <v xml:space="preserve"> </v>
      </c>
      <c r="F430" s="241">
        <f t="shared" si="19"/>
        <v>0</v>
      </c>
      <c r="G430" s="235"/>
    </row>
    <row r="431" spans="1:7" ht="16.5" x14ac:dyDescent="0.3">
      <c r="A431" s="250"/>
      <c r="B431" s="275"/>
      <c r="C431" s="246"/>
      <c r="D431" s="235"/>
      <c r="E431" s="240" t="str">
        <f t="shared" si="18"/>
        <v xml:space="preserve"> </v>
      </c>
      <c r="F431" s="241">
        <f t="shared" si="19"/>
        <v>0</v>
      </c>
      <c r="G431" s="235"/>
    </row>
    <row r="432" spans="1:7" ht="16.5" x14ac:dyDescent="0.3">
      <c r="A432" s="250"/>
      <c r="B432" s="275"/>
      <c r="C432" s="246"/>
      <c r="D432" s="235"/>
      <c r="E432" s="240" t="str">
        <f t="shared" si="18"/>
        <v xml:space="preserve"> </v>
      </c>
      <c r="F432" s="241">
        <f t="shared" si="19"/>
        <v>0</v>
      </c>
      <c r="G432" s="235"/>
    </row>
    <row r="433" spans="1:8" ht="16.5" x14ac:dyDescent="0.3">
      <c r="A433" s="250"/>
      <c r="B433" s="275"/>
      <c r="C433" s="246"/>
      <c r="D433" s="235"/>
      <c r="E433" s="240" t="str">
        <f t="shared" si="18"/>
        <v xml:space="preserve"> </v>
      </c>
      <c r="F433" s="241">
        <f t="shared" si="19"/>
        <v>0</v>
      </c>
      <c r="G433" s="235"/>
    </row>
    <row r="434" spans="1:8" ht="16.5" x14ac:dyDescent="0.3">
      <c r="A434" s="250"/>
      <c r="B434" s="275"/>
      <c r="C434" s="246"/>
      <c r="D434" s="235"/>
      <c r="E434" s="240" t="str">
        <f t="shared" si="18"/>
        <v xml:space="preserve"> </v>
      </c>
      <c r="F434" s="241">
        <f t="shared" si="19"/>
        <v>0</v>
      </c>
      <c r="G434" s="235"/>
    </row>
    <row r="435" spans="1:8" ht="16.5" x14ac:dyDescent="0.3">
      <c r="A435" s="250"/>
      <c r="B435" s="275"/>
      <c r="C435" s="246"/>
      <c r="D435" s="235"/>
      <c r="E435" s="240" t="str">
        <f t="shared" si="18"/>
        <v xml:space="preserve"> </v>
      </c>
      <c r="F435" s="241">
        <f t="shared" si="19"/>
        <v>0</v>
      </c>
      <c r="G435" s="235"/>
    </row>
    <row r="436" spans="1:8" ht="16.5" x14ac:dyDescent="0.3">
      <c r="A436" s="250"/>
      <c r="B436" s="275"/>
      <c r="C436" s="246"/>
      <c r="D436" s="235"/>
      <c r="E436" s="240" t="str">
        <f t="shared" si="18"/>
        <v xml:space="preserve"> </v>
      </c>
      <c r="F436" s="241">
        <f t="shared" si="19"/>
        <v>0</v>
      </c>
      <c r="G436" s="235"/>
    </row>
    <row r="437" spans="1:8" ht="16.5" x14ac:dyDescent="0.3">
      <c r="A437" s="250"/>
      <c r="B437" s="275"/>
      <c r="C437" s="246"/>
      <c r="D437" s="235"/>
      <c r="E437" s="240" t="str">
        <f t="shared" si="18"/>
        <v xml:space="preserve"> </v>
      </c>
      <c r="F437" s="241">
        <f t="shared" si="19"/>
        <v>0</v>
      </c>
      <c r="G437" s="235"/>
    </row>
    <row r="438" spans="1:8" ht="16.5" x14ac:dyDescent="0.3">
      <c r="A438" s="250"/>
      <c r="B438" s="275"/>
      <c r="C438" s="246"/>
      <c r="D438" s="235"/>
      <c r="E438" s="240" t="str">
        <f t="shared" si="18"/>
        <v xml:space="preserve"> </v>
      </c>
      <c r="F438" s="241">
        <f t="shared" si="19"/>
        <v>0</v>
      </c>
      <c r="G438" s="235"/>
    </row>
    <row r="439" spans="1:8" ht="16.5" x14ac:dyDescent="0.3">
      <c r="A439" s="250"/>
      <c r="B439" s="275"/>
      <c r="C439" s="246"/>
      <c r="D439" s="235"/>
      <c r="E439" s="240" t="str">
        <f t="shared" si="18"/>
        <v xml:space="preserve"> </v>
      </c>
      <c r="F439" s="241">
        <f t="shared" si="19"/>
        <v>0</v>
      </c>
      <c r="G439" s="235"/>
    </row>
    <row r="440" spans="1:8" ht="16.5" x14ac:dyDescent="0.3">
      <c r="A440" s="250"/>
      <c r="B440" s="275"/>
      <c r="C440" s="246"/>
      <c r="D440" s="235"/>
      <c r="E440" s="240" t="str">
        <f t="shared" si="18"/>
        <v xml:space="preserve"> </v>
      </c>
      <c r="F440" s="241">
        <f t="shared" si="19"/>
        <v>0</v>
      </c>
      <c r="G440" s="235"/>
    </row>
    <row r="441" spans="1:8" ht="16.5" x14ac:dyDescent="0.3">
      <c r="A441" s="250"/>
      <c r="B441" s="275"/>
      <c r="C441" s="246"/>
      <c r="D441" s="235"/>
      <c r="E441" s="240" t="str">
        <f t="shared" si="18"/>
        <v xml:space="preserve"> </v>
      </c>
      <c r="F441" s="241">
        <f t="shared" si="19"/>
        <v>0</v>
      </c>
      <c r="G441" s="235"/>
    </row>
    <row r="442" spans="1:8" ht="16.5" x14ac:dyDescent="0.3">
      <c r="A442" s="250"/>
      <c r="B442" s="275"/>
      <c r="C442" s="246"/>
      <c r="D442" s="235"/>
      <c r="E442" s="240" t="str">
        <f t="shared" si="18"/>
        <v xml:space="preserve"> </v>
      </c>
      <c r="F442" s="241">
        <f t="shared" si="19"/>
        <v>0</v>
      </c>
      <c r="G442" s="235"/>
    </row>
    <row r="443" spans="1:8" ht="16.5" x14ac:dyDescent="0.3">
      <c r="A443" s="250"/>
      <c r="B443" s="275"/>
      <c r="C443" s="246"/>
      <c r="D443" s="235"/>
      <c r="E443" s="240" t="str">
        <f t="shared" si="18"/>
        <v xml:space="preserve"> </v>
      </c>
      <c r="F443" s="241">
        <f t="shared" si="19"/>
        <v>0</v>
      </c>
      <c r="G443" s="235"/>
    </row>
    <row r="444" spans="1:8" ht="16.5" x14ac:dyDescent="0.3">
      <c r="A444" s="250"/>
      <c r="B444" s="275"/>
      <c r="C444" s="246"/>
      <c r="D444" s="235"/>
      <c r="E444" s="240" t="str">
        <f t="shared" si="18"/>
        <v xml:space="preserve"> </v>
      </c>
      <c r="F444" s="241">
        <f t="shared" si="19"/>
        <v>0</v>
      </c>
      <c r="G444" s="235"/>
      <c r="H444" s="139"/>
    </row>
    <row r="445" spans="1:8" ht="16.5" x14ac:dyDescent="0.3">
      <c r="A445" s="250"/>
      <c r="B445" s="275"/>
      <c r="C445" s="246"/>
      <c r="D445" s="235"/>
      <c r="E445" s="240" t="str">
        <f t="shared" si="18"/>
        <v xml:space="preserve"> </v>
      </c>
      <c r="F445" s="241">
        <f t="shared" si="19"/>
        <v>0</v>
      </c>
      <c r="G445" s="235"/>
    </row>
    <row r="446" spans="1:8" ht="16.5" x14ac:dyDescent="0.3">
      <c r="A446" s="250"/>
      <c r="B446" s="275"/>
      <c r="C446" s="246"/>
      <c r="D446" s="235"/>
      <c r="E446" s="240" t="str">
        <f t="shared" si="18"/>
        <v xml:space="preserve"> </v>
      </c>
      <c r="F446" s="241">
        <f t="shared" si="19"/>
        <v>0</v>
      </c>
      <c r="G446" s="235"/>
    </row>
    <row r="447" spans="1:8" ht="16.5" x14ac:dyDescent="0.3">
      <c r="A447" s="250"/>
      <c r="B447" s="275"/>
      <c r="C447" s="246"/>
      <c r="D447" s="235"/>
      <c r="E447" s="240" t="str">
        <f t="shared" si="18"/>
        <v xml:space="preserve"> </v>
      </c>
      <c r="F447" s="241">
        <f t="shared" si="19"/>
        <v>0</v>
      </c>
      <c r="G447" s="235"/>
    </row>
    <row r="448" spans="1:8" ht="16.5" x14ac:dyDescent="0.3">
      <c r="A448" s="250"/>
      <c r="B448" s="275"/>
      <c r="C448" s="246"/>
      <c r="D448" s="235"/>
      <c r="E448" s="240" t="str">
        <f t="shared" si="18"/>
        <v xml:space="preserve"> </v>
      </c>
      <c r="F448" s="241">
        <f t="shared" si="19"/>
        <v>0</v>
      </c>
      <c r="G448" s="235"/>
    </row>
    <row r="449" spans="1:7" ht="16.5" x14ac:dyDescent="0.3">
      <c r="A449" s="250"/>
      <c r="B449" s="275"/>
      <c r="C449" s="246"/>
      <c r="D449" s="235"/>
      <c r="E449" s="240" t="str">
        <f t="shared" si="18"/>
        <v xml:space="preserve"> </v>
      </c>
      <c r="F449" s="241">
        <f t="shared" si="19"/>
        <v>0</v>
      </c>
      <c r="G449" s="235"/>
    </row>
    <row r="450" spans="1:7" ht="16.5" x14ac:dyDescent="0.3">
      <c r="A450" s="250"/>
      <c r="B450" s="275"/>
      <c r="C450" s="246"/>
      <c r="D450" s="235"/>
      <c r="E450" s="240" t="str">
        <f t="shared" si="18"/>
        <v xml:space="preserve"> </v>
      </c>
      <c r="F450" s="241">
        <f t="shared" si="19"/>
        <v>0</v>
      </c>
      <c r="G450" s="235"/>
    </row>
    <row r="451" spans="1:7" ht="16.5" x14ac:dyDescent="0.3">
      <c r="A451" s="250"/>
      <c r="B451" s="275"/>
      <c r="C451" s="246"/>
      <c r="D451" s="235"/>
      <c r="E451" s="240" t="str">
        <f t="shared" si="18"/>
        <v xml:space="preserve"> </v>
      </c>
      <c r="F451" s="241">
        <f t="shared" si="19"/>
        <v>0</v>
      </c>
      <c r="G451" s="235"/>
    </row>
    <row r="452" spans="1:7" ht="16.5" x14ac:dyDescent="0.3">
      <c r="A452" s="250"/>
      <c r="B452" s="275"/>
      <c r="C452" s="246"/>
      <c r="D452" s="235"/>
      <c r="E452" s="240" t="str">
        <f t="shared" si="18"/>
        <v xml:space="preserve"> </v>
      </c>
      <c r="F452" s="241">
        <f t="shared" si="19"/>
        <v>0</v>
      </c>
      <c r="G452" s="235"/>
    </row>
    <row r="453" spans="1:7" ht="16.5" x14ac:dyDescent="0.3">
      <c r="A453" s="250"/>
      <c r="B453" s="275"/>
      <c r="C453" s="246"/>
      <c r="D453" s="235"/>
      <c r="E453" s="240" t="str">
        <f t="shared" si="18"/>
        <v xml:space="preserve"> </v>
      </c>
      <c r="F453" s="241">
        <f t="shared" si="19"/>
        <v>0</v>
      </c>
      <c r="G453" s="235"/>
    </row>
    <row r="454" spans="1:7" ht="16.5" x14ac:dyDescent="0.3">
      <c r="A454" s="250"/>
      <c r="B454" s="275"/>
      <c r="C454" s="246"/>
      <c r="D454" s="235"/>
      <c r="E454" s="240" t="str">
        <f t="shared" si="18"/>
        <v xml:space="preserve"> </v>
      </c>
      <c r="F454" s="241">
        <f t="shared" si="19"/>
        <v>0</v>
      </c>
      <c r="G454" s="235"/>
    </row>
    <row r="455" spans="1:7" ht="16.5" x14ac:dyDescent="0.3">
      <c r="A455" s="250"/>
      <c r="B455" s="275"/>
      <c r="C455" s="246"/>
      <c r="D455" s="235"/>
      <c r="E455" s="240" t="str">
        <f t="shared" si="18"/>
        <v xml:space="preserve"> </v>
      </c>
      <c r="F455" s="241">
        <f t="shared" si="19"/>
        <v>0</v>
      </c>
      <c r="G455" s="235"/>
    </row>
    <row r="456" spans="1:7" ht="16.5" x14ac:dyDescent="0.3">
      <c r="A456" s="250"/>
      <c r="B456" s="275"/>
      <c r="C456" s="246"/>
      <c r="D456" s="235"/>
      <c r="E456" s="240" t="str">
        <f t="shared" si="18"/>
        <v xml:space="preserve"> </v>
      </c>
      <c r="F456" s="241">
        <f t="shared" si="19"/>
        <v>0</v>
      </c>
      <c r="G456" s="235"/>
    </row>
    <row r="457" spans="1:7" x14ac:dyDescent="0.2">
      <c r="A457" s="235"/>
      <c r="B457" s="235"/>
      <c r="C457" s="276"/>
      <c r="D457" s="235"/>
      <c r="E457" s="235"/>
      <c r="F457" s="235"/>
      <c r="G457" s="235"/>
    </row>
  </sheetData>
  <autoFilter ref="B1:B456"/>
  <phoneticPr fontId="19" type="noConversion"/>
  <dataValidations count="1">
    <dataValidation type="list" allowBlank="1" showInputMessage="1" showErrorMessage="1" sqref="G7">
      <formula1>ARTICULO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47"/>
  <sheetViews>
    <sheetView showGridLines="0" topLeftCell="A334" zoomScale="85" zoomScaleNormal="85" zoomScaleSheetLayoutView="100" workbookViewId="0">
      <selection activeCell="B7" sqref="B7:E7"/>
    </sheetView>
  </sheetViews>
  <sheetFormatPr baseColWidth="10" defaultColWidth="11.42578125" defaultRowHeight="11.25" x14ac:dyDescent="0.2"/>
  <cols>
    <col min="1" max="1" width="3.28515625" style="152" customWidth="1"/>
    <col min="2" max="2" width="35.140625" style="125" bestFit="1" customWidth="1"/>
    <col min="3" max="3" width="11.28515625" style="125" customWidth="1"/>
    <col min="4" max="4" width="15.5703125" style="125" customWidth="1"/>
    <col min="5" max="5" width="15.28515625" style="125" customWidth="1"/>
    <col min="6" max="6" width="27.42578125" style="125" customWidth="1"/>
    <col min="7" max="7" width="11.42578125" style="125"/>
    <col min="8" max="8" width="21.28515625" style="125" customWidth="1"/>
    <col min="9" max="20" width="11.42578125" style="152"/>
    <col min="21" max="16384" width="11.42578125" style="125"/>
  </cols>
  <sheetData>
    <row r="1" spans="1:20" ht="12" customHeight="1" x14ac:dyDescent="0.2">
      <c r="C1" s="126"/>
    </row>
    <row r="2" spans="1:20" ht="15.75" customHeight="1" x14ac:dyDescent="0.25">
      <c r="B2" s="132"/>
      <c r="C2" s="126"/>
    </row>
    <row r="3" spans="1:20" ht="11.25" customHeight="1" x14ac:dyDescent="0.2">
      <c r="A3" s="158"/>
    </row>
    <row r="4" spans="1:20" ht="15.75" customHeight="1" x14ac:dyDescent="0.25">
      <c r="B4" s="192"/>
    </row>
    <row r="5" spans="1:20" s="124" customFormat="1" ht="12" customHeight="1" thickBot="1" x14ac:dyDescent="0.25">
      <c r="A5" s="157"/>
      <c r="B5" s="231"/>
      <c r="C5" s="231"/>
      <c r="D5" s="231"/>
      <c r="E5" s="231"/>
      <c r="F5" s="231"/>
      <c r="G5" s="231"/>
      <c r="H5" s="231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</row>
    <row r="6" spans="1:20" ht="21.75" customHeight="1" thickBot="1" x14ac:dyDescent="0.4">
      <c r="B6" s="277" t="s">
        <v>1888</v>
      </c>
      <c r="C6" s="278"/>
      <c r="D6" s="278"/>
      <c r="E6" s="278"/>
      <c r="F6" s="278"/>
      <c r="G6" s="278"/>
      <c r="H6" s="279"/>
    </row>
    <row r="7" spans="1:20" ht="12" customHeight="1" thickBot="1" x14ac:dyDescent="0.25">
      <c r="B7" s="280" t="s">
        <v>1891</v>
      </c>
      <c r="C7" s="281"/>
      <c r="D7" s="281"/>
      <c r="E7" s="282"/>
      <c r="F7" s="280" t="s">
        <v>1890</v>
      </c>
      <c r="G7" s="281"/>
      <c r="H7" s="282"/>
    </row>
    <row r="8" spans="1:20" ht="12" customHeight="1" thickBot="1" x14ac:dyDescent="0.25">
      <c r="B8" s="283" t="s">
        <v>1896</v>
      </c>
      <c r="C8" s="283" t="s">
        <v>20</v>
      </c>
      <c r="D8" s="283" t="s">
        <v>21</v>
      </c>
      <c r="E8" s="283" t="s">
        <v>22</v>
      </c>
      <c r="F8" s="283" t="s">
        <v>20</v>
      </c>
      <c r="G8" s="283" t="s">
        <v>21</v>
      </c>
      <c r="H8" s="283" t="s">
        <v>22</v>
      </c>
    </row>
    <row r="9" spans="1:20" s="152" customFormat="1" ht="11.25" customHeight="1" x14ac:dyDescent="0.2">
      <c r="B9" s="175" t="s">
        <v>1670</v>
      </c>
      <c r="C9" s="160">
        <v>1000</v>
      </c>
      <c r="D9" s="154">
        <f t="shared" ref="D9:D47" si="0">IF(B9="","",VLOOKUP(B9,INVENTARIO,2))</f>
        <v>4.5090000000000005E-2</v>
      </c>
      <c r="E9" s="154">
        <f>IF(C9=0,"",C9*D9)</f>
        <v>45.09</v>
      </c>
      <c r="F9" s="179">
        <v>2000</v>
      </c>
      <c r="G9" s="154">
        <f>D9</f>
        <v>4.5090000000000005E-2</v>
      </c>
      <c r="H9" s="155">
        <f>IF(F9=0,"",F9*G9)</f>
        <v>90.18</v>
      </c>
    </row>
    <row r="10" spans="1:20" s="152" customFormat="1" ht="11.25" customHeight="1" x14ac:dyDescent="0.2">
      <c r="B10" s="176" t="s">
        <v>1671</v>
      </c>
      <c r="C10" s="161">
        <v>400</v>
      </c>
      <c r="D10" s="155">
        <f t="shared" si="0"/>
        <v>0</v>
      </c>
      <c r="E10" s="155">
        <f t="shared" ref="E10:E47" si="1">IF(C10=0,"",C10*D10)</f>
        <v>0</v>
      </c>
      <c r="F10" s="180">
        <v>3</v>
      </c>
      <c r="G10" s="155">
        <f t="shared" ref="G10:G47" si="2">D10</f>
        <v>0</v>
      </c>
      <c r="H10" s="155">
        <f t="shared" ref="H10:H47" si="3">IF(F10=0,"",F10*G10)</f>
        <v>0</v>
      </c>
    </row>
    <row r="11" spans="1:20" s="152" customFormat="1" ht="11.25" customHeight="1" x14ac:dyDescent="0.2">
      <c r="B11" s="176" t="s">
        <v>1672</v>
      </c>
      <c r="C11" s="161">
        <v>1500</v>
      </c>
      <c r="D11" s="155">
        <f t="shared" si="0"/>
        <v>5.9819999999999998E-2</v>
      </c>
      <c r="E11" s="155">
        <f t="shared" si="1"/>
        <v>89.73</v>
      </c>
      <c r="F11" s="180">
        <v>3000</v>
      </c>
      <c r="G11" s="155">
        <f t="shared" si="2"/>
        <v>5.9819999999999998E-2</v>
      </c>
      <c r="H11" s="155">
        <f t="shared" si="3"/>
        <v>179.46</v>
      </c>
    </row>
    <row r="12" spans="1:20" s="152" customFormat="1" ht="11.25" customHeight="1" x14ac:dyDescent="0.2">
      <c r="B12" s="176" t="s">
        <v>1673</v>
      </c>
      <c r="C12" s="161">
        <v>1500</v>
      </c>
      <c r="D12" s="155">
        <f t="shared" si="0"/>
        <v>1.5090000000000001E-2</v>
      </c>
      <c r="E12" s="155">
        <f t="shared" si="1"/>
        <v>22.635000000000002</v>
      </c>
      <c r="F12" s="180">
        <v>1500</v>
      </c>
      <c r="G12" s="155">
        <f t="shared" si="2"/>
        <v>1.5090000000000001E-2</v>
      </c>
      <c r="H12" s="155">
        <f t="shared" si="3"/>
        <v>22.635000000000002</v>
      </c>
    </row>
    <row r="13" spans="1:20" s="152" customFormat="1" ht="11.25" customHeight="1" x14ac:dyDescent="0.2">
      <c r="B13" s="176" t="s">
        <v>1674</v>
      </c>
      <c r="C13" s="161">
        <v>1500</v>
      </c>
      <c r="D13" s="155">
        <f t="shared" si="0"/>
        <v>3.3000000000000002E-2</v>
      </c>
      <c r="E13" s="155">
        <f t="shared" si="1"/>
        <v>49.5</v>
      </c>
      <c r="F13" s="180">
        <v>1500</v>
      </c>
      <c r="G13" s="155">
        <f t="shared" si="2"/>
        <v>3.3000000000000002E-2</v>
      </c>
      <c r="H13" s="155">
        <f t="shared" si="3"/>
        <v>49.5</v>
      </c>
    </row>
    <row r="14" spans="1:20" s="152" customFormat="1" ht="11.25" customHeight="1" x14ac:dyDescent="0.2">
      <c r="B14" s="176" t="s">
        <v>1675</v>
      </c>
      <c r="C14" s="156"/>
      <c r="D14" s="155">
        <f t="shared" si="0"/>
        <v>2.8000000000000001E-2</v>
      </c>
      <c r="E14" s="155" t="str">
        <f t="shared" si="1"/>
        <v/>
      </c>
      <c r="F14" s="181">
        <v>1500</v>
      </c>
      <c r="G14" s="155">
        <f t="shared" si="2"/>
        <v>2.8000000000000001E-2</v>
      </c>
      <c r="H14" s="155">
        <f t="shared" si="3"/>
        <v>42</v>
      </c>
    </row>
    <row r="15" spans="1:20" s="152" customFormat="1" ht="11.25" customHeight="1" x14ac:dyDescent="0.2">
      <c r="B15" s="176" t="s">
        <v>1676</v>
      </c>
      <c r="C15" s="156"/>
      <c r="D15" s="155">
        <f t="shared" si="0"/>
        <v>3.7945E-2</v>
      </c>
      <c r="E15" s="155" t="str">
        <f t="shared" si="1"/>
        <v/>
      </c>
      <c r="F15" s="181">
        <v>500</v>
      </c>
      <c r="G15" s="155">
        <f t="shared" si="2"/>
        <v>3.7945E-2</v>
      </c>
      <c r="H15" s="155">
        <f t="shared" si="3"/>
        <v>18.9725</v>
      </c>
    </row>
    <row r="16" spans="1:20" s="152" customFormat="1" ht="11.25" customHeight="1" x14ac:dyDescent="0.2">
      <c r="B16" s="176" t="s">
        <v>1677</v>
      </c>
      <c r="C16" s="156"/>
      <c r="D16" s="155">
        <f t="shared" si="0"/>
        <v>8.2874999999999997E-3</v>
      </c>
      <c r="E16" s="155" t="str">
        <f t="shared" si="1"/>
        <v/>
      </c>
      <c r="F16" s="181">
        <v>800</v>
      </c>
      <c r="G16" s="155">
        <f t="shared" si="2"/>
        <v>8.2874999999999997E-3</v>
      </c>
      <c r="H16" s="155">
        <f t="shared" si="3"/>
        <v>6.63</v>
      </c>
    </row>
    <row r="17" spans="2:8" s="152" customFormat="1" x14ac:dyDescent="0.2">
      <c r="B17" s="176" t="s">
        <v>1678</v>
      </c>
      <c r="C17" s="156"/>
      <c r="D17" s="155">
        <f t="shared" si="0"/>
        <v>4.9000000000000007E-3</v>
      </c>
      <c r="E17" s="155" t="str">
        <f t="shared" si="1"/>
        <v/>
      </c>
      <c r="F17" s="181">
        <v>1000</v>
      </c>
      <c r="G17" s="155">
        <f t="shared" si="2"/>
        <v>4.9000000000000007E-3</v>
      </c>
      <c r="H17" s="155">
        <f t="shared" si="3"/>
        <v>4.9000000000000004</v>
      </c>
    </row>
    <row r="18" spans="2:8" s="152" customFormat="1" ht="11.25" customHeight="1" x14ac:dyDescent="0.2">
      <c r="B18" s="176" t="s">
        <v>1679</v>
      </c>
      <c r="C18" s="156"/>
      <c r="D18" s="155">
        <f t="shared" si="0"/>
        <v>6.7499999999999999E-3</v>
      </c>
      <c r="E18" s="155" t="str">
        <f t="shared" si="1"/>
        <v/>
      </c>
      <c r="F18" s="181">
        <v>5000</v>
      </c>
      <c r="G18" s="155">
        <f t="shared" si="2"/>
        <v>6.7499999999999999E-3</v>
      </c>
      <c r="H18" s="155">
        <f t="shared" si="3"/>
        <v>33.75</v>
      </c>
    </row>
    <row r="19" spans="2:8" s="152" customFormat="1" ht="11.25" customHeight="1" x14ac:dyDescent="0.2">
      <c r="B19" s="176" t="s">
        <v>1680</v>
      </c>
      <c r="C19" s="156"/>
      <c r="D19" s="155">
        <f t="shared" si="0"/>
        <v>1.5</v>
      </c>
      <c r="E19" s="155" t="str">
        <f t="shared" si="1"/>
        <v/>
      </c>
      <c r="F19" s="181">
        <v>120</v>
      </c>
      <c r="G19" s="155">
        <f t="shared" si="2"/>
        <v>1.5</v>
      </c>
      <c r="H19" s="155">
        <f t="shared" si="3"/>
        <v>180</v>
      </c>
    </row>
    <row r="20" spans="2:8" s="152" customFormat="1" ht="11.25" customHeight="1" x14ac:dyDescent="0.2">
      <c r="B20" s="176" t="s">
        <v>1681</v>
      </c>
      <c r="C20" s="156"/>
      <c r="D20" s="155">
        <f t="shared" si="0"/>
        <v>7.2</v>
      </c>
      <c r="E20" s="155" t="str">
        <f t="shared" si="1"/>
        <v/>
      </c>
      <c r="F20" s="181">
        <v>2</v>
      </c>
      <c r="G20" s="155">
        <f t="shared" si="2"/>
        <v>7.2</v>
      </c>
      <c r="H20" s="155">
        <f t="shared" si="3"/>
        <v>14.4</v>
      </c>
    </row>
    <row r="21" spans="2:8" s="152" customFormat="1" ht="11.25" customHeight="1" x14ac:dyDescent="0.2">
      <c r="B21" s="176"/>
      <c r="C21" s="156"/>
      <c r="D21" s="155" t="str">
        <f t="shared" si="0"/>
        <v/>
      </c>
      <c r="E21" s="155" t="str">
        <f t="shared" si="1"/>
        <v/>
      </c>
      <c r="F21" s="181"/>
      <c r="G21" s="155" t="str">
        <f t="shared" si="2"/>
        <v/>
      </c>
      <c r="H21" s="155" t="str">
        <f t="shared" si="3"/>
        <v/>
      </c>
    </row>
    <row r="22" spans="2:8" s="152" customFormat="1" ht="11.25" customHeight="1" x14ac:dyDescent="0.2">
      <c r="B22" s="176"/>
      <c r="C22" s="156"/>
      <c r="D22" s="155" t="str">
        <f t="shared" si="0"/>
        <v/>
      </c>
      <c r="E22" s="155" t="str">
        <f t="shared" si="1"/>
        <v/>
      </c>
      <c r="F22" s="181"/>
      <c r="G22" s="155" t="str">
        <f t="shared" si="2"/>
        <v/>
      </c>
      <c r="H22" s="155" t="str">
        <f t="shared" si="3"/>
        <v/>
      </c>
    </row>
    <row r="23" spans="2:8" s="152" customFormat="1" ht="11.25" customHeight="1" x14ac:dyDescent="0.2">
      <c r="B23" s="176"/>
      <c r="C23" s="156"/>
      <c r="D23" s="155" t="str">
        <f t="shared" si="0"/>
        <v/>
      </c>
      <c r="E23" s="155" t="str">
        <f t="shared" si="1"/>
        <v/>
      </c>
      <c r="F23" s="181"/>
      <c r="G23" s="155" t="str">
        <f t="shared" si="2"/>
        <v/>
      </c>
      <c r="H23" s="155"/>
    </row>
    <row r="24" spans="2:8" s="152" customFormat="1" ht="11.25" customHeight="1" x14ac:dyDescent="0.2">
      <c r="B24" s="176"/>
      <c r="C24" s="156"/>
      <c r="D24" s="155" t="str">
        <f t="shared" si="0"/>
        <v/>
      </c>
      <c r="E24" s="155" t="str">
        <f t="shared" si="1"/>
        <v/>
      </c>
      <c r="F24" s="181"/>
      <c r="G24" s="155" t="str">
        <f t="shared" si="2"/>
        <v/>
      </c>
      <c r="H24" s="155"/>
    </row>
    <row r="25" spans="2:8" s="152" customFormat="1" ht="11.25" customHeight="1" x14ac:dyDescent="0.2">
      <c r="B25" s="176"/>
      <c r="C25" s="156"/>
      <c r="D25" s="155" t="str">
        <f t="shared" si="0"/>
        <v/>
      </c>
      <c r="E25" s="155" t="str">
        <f t="shared" si="1"/>
        <v/>
      </c>
      <c r="F25" s="181"/>
      <c r="G25" s="155" t="str">
        <f t="shared" si="2"/>
        <v/>
      </c>
      <c r="H25" s="155"/>
    </row>
    <row r="26" spans="2:8" s="152" customFormat="1" ht="11.25" customHeight="1" x14ac:dyDescent="0.2">
      <c r="B26" s="176"/>
      <c r="C26" s="156"/>
      <c r="D26" s="155" t="str">
        <f t="shared" si="0"/>
        <v/>
      </c>
      <c r="E26" s="155" t="str">
        <f t="shared" si="1"/>
        <v/>
      </c>
      <c r="F26" s="181"/>
      <c r="G26" s="155" t="str">
        <f t="shared" si="2"/>
        <v/>
      </c>
      <c r="H26" s="155"/>
    </row>
    <row r="27" spans="2:8" s="152" customFormat="1" ht="11.25" customHeight="1" x14ac:dyDescent="0.2">
      <c r="B27" s="176"/>
      <c r="C27" s="156"/>
      <c r="D27" s="155" t="str">
        <f t="shared" si="0"/>
        <v/>
      </c>
      <c r="E27" s="155" t="str">
        <f t="shared" si="1"/>
        <v/>
      </c>
      <c r="F27" s="181"/>
      <c r="G27" s="155" t="str">
        <f t="shared" si="2"/>
        <v/>
      </c>
      <c r="H27" s="155"/>
    </row>
    <row r="28" spans="2:8" s="152" customFormat="1" ht="11.25" customHeight="1" x14ac:dyDescent="0.2">
      <c r="B28" s="176"/>
      <c r="C28" s="156"/>
      <c r="D28" s="155" t="str">
        <f t="shared" si="0"/>
        <v/>
      </c>
      <c r="E28" s="155" t="str">
        <f t="shared" si="1"/>
        <v/>
      </c>
      <c r="F28" s="181"/>
      <c r="G28" s="155" t="str">
        <f t="shared" si="2"/>
        <v/>
      </c>
      <c r="H28" s="155"/>
    </row>
    <row r="29" spans="2:8" s="152" customFormat="1" ht="11.25" customHeight="1" x14ac:dyDescent="0.2">
      <c r="B29" s="176"/>
      <c r="C29" s="156"/>
      <c r="D29" s="155" t="str">
        <f t="shared" si="0"/>
        <v/>
      </c>
      <c r="E29" s="155" t="str">
        <f t="shared" si="1"/>
        <v/>
      </c>
      <c r="F29" s="181"/>
      <c r="G29" s="155" t="str">
        <f t="shared" si="2"/>
        <v/>
      </c>
      <c r="H29" s="155"/>
    </row>
    <row r="30" spans="2:8" s="152" customFormat="1" ht="11.25" customHeight="1" x14ac:dyDescent="0.2">
      <c r="B30" s="176"/>
      <c r="C30" s="156"/>
      <c r="D30" s="155" t="str">
        <f t="shared" si="0"/>
        <v/>
      </c>
      <c r="E30" s="155" t="str">
        <f t="shared" si="1"/>
        <v/>
      </c>
      <c r="F30" s="181"/>
      <c r="G30" s="155" t="str">
        <f t="shared" si="2"/>
        <v/>
      </c>
      <c r="H30" s="155"/>
    </row>
    <row r="31" spans="2:8" s="152" customFormat="1" ht="11.25" customHeight="1" x14ac:dyDescent="0.2">
      <c r="B31" s="176"/>
      <c r="C31" s="156"/>
      <c r="D31" s="155" t="str">
        <f t="shared" si="0"/>
        <v/>
      </c>
      <c r="E31" s="155" t="str">
        <f t="shared" si="1"/>
        <v/>
      </c>
      <c r="F31" s="181"/>
      <c r="G31" s="155" t="str">
        <f t="shared" si="2"/>
        <v/>
      </c>
      <c r="H31" s="155"/>
    </row>
    <row r="32" spans="2:8" s="152" customFormat="1" ht="11.25" customHeight="1" x14ac:dyDescent="0.2">
      <c r="B32" s="176"/>
      <c r="C32" s="156"/>
      <c r="D32" s="155" t="str">
        <f t="shared" si="0"/>
        <v/>
      </c>
      <c r="E32" s="155" t="str">
        <f t="shared" si="1"/>
        <v/>
      </c>
      <c r="F32" s="181"/>
      <c r="G32" s="155" t="str">
        <f t="shared" si="2"/>
        <v/>
      </c>
      <c r="H32" s="155" t="str">
        <f t="shared" si="3"/>
        <v/>
      </c>
    </row>
    <row r="33" spans="1:8" s="152" customFormat="1" ht="11.25" customHeight="1" x14ac:dyDescent="0.2">
      <c r="B33" s="176"/>
      <c r="C33" s="156"/>
      <c r="D33" s="155" t="str">
        <f t="shared" si="0"/>
        <v/>
      </c>
      <c r="E33" s="155" t="str">
        <f t="shared" si="1"/>
        <v/>
      </c>
      <c r="F33" s="181"/>
      <c r="G33" s="155" t="str">
        <f t="shared" si="2"/>
        <v/>
      </c>
      <c r="H33" s="155" t="str">
        <f t="shared" si="3"/>
        <v/>
      </c>
    </row>
    <row r="34" spans="1:8" s="152" customFormat="1" ht="11.25" customHeight="1" x14ac:dyDescent="0.2">
      <c r="B34" s="176"/>
      <c r="C34" s="156"/>
      <c r="D34" s="155" t="str">
        <f t="shared" si="0"/>
        <v/>
      </c>
      <c r="E34" s="155" t="str">
        <f t="shared" si="1"/>
        <v/>
      </c>
      <c r="F34" s="181"/>
      <c r="G34" s="155" t="str">
        <f t="shared" si="2"/>
        <v/>
      </c>
      <c r="H34" s="155" t="str">
        <f t="shared" si="3"/>
        <v/>
      </c>
    </row>
    <row r="35" spans="1:8" s="152" customFormat="1" ht="11.25" customHeight="1" x14ac:dyDescent="0.2">
      <c r="B35" s="176"/>
      <c r="C35" s="156"/>
      <c r="D35" s="155" t="str">
        <f t="shared" si="0"/>
        <v/>
      </c>
      <c r="E35" s="155" t="str">
        <f t="shared" si="1"/>
        <v/>
      </c>
      <c r="F35" s="181"/>
      <c r="G35" s="155" t="str">
        <f t="shared" si="2"/>
        <v/>
      </c>
      <c r="H35" s="155" t="str">
        <f t="shared" si="3"/>
        <v/>
      </c>
    </row>
    <row r="36" spans="1:8" s="152" customFormat="1" ht="11.25" customHeight="1" x14ac:dyDescent="0.2">
      <c r="B36" s="176"/>
      <c r="C36" s="156"/>
      <c r="D36" s="155" t="str">
        <f t="shared" si="0"/>
        <v/>
      </c>
      <c r="E36" s="155" t="str">
        <f t="shared" si="1"/>
        <v/>
      </c>
      <c r="F36" s="181"/>
      <c r="G36" s="155" t="str">
        <f t="shared" si="2"/>
        <v/>
      </c>
      <c r="H36" s="155" t="str">
        <f t="shared" si="3"/>
        <v/>
      </c>
    </row>
    <row r="37" spans="1:8" s="152" customFormat="1" ht="11.25" customHeight="1" x14ac:dyDescent="0.2">
      <c r="B37" s="176"/>
      <c r="C37" s="156"/>
      <c r="D37" s="155" t="str">
        <f t="shared" si="0"/>
        <v/>
      </c>
      <c r="E37" s="155" t="str">
        <f t="shared" si="1"/>
        <v/>
      </c>
      <c r="F37" s="181"/>
      <c r="G37" s="155" t="str">
        <f t="shared" si="2"/>
        <v/>
      </c>
      <c r="H37" s="155" t="str">
        <f t="shared" si="3"/>
        <v/>
      </c>
    </row>
    <row r="38" spans="1:8" s="152" customFormat="1" ht="11.25" customHeight="1" x14ac:dyDescent="0.2">
      <c r="B38" s="176"/>
      <c r="C38" s="156"/>
      <c r="D38" s="155" t="str">
        <f t="shared" si="0"/>
        <v/>
      </c>
      <c r="E38" s="155" t="str">
        <f t="shared" si="1"/>
        <v/>
      </c>
      <c r="F38" s="181"/>
      <c r="G38" s="155" t="str">
        <f t="shared" si="2"/>
        <v/>
      </c>
      <c r="H38" s="155" t="str">
        <f t="shared" si="3"/>
        <v/>
      </c>
    </row>
    <row r="39" spans="1:8" s="152" customFormat="1" ht="11.25" customHeight="1" x14ac:dyDescent="0.2">
      <c r="B39" s="176"/>
      <c r="C39" s="156"/>
      <c r="D39" s="155" t="str">
        <f t="shared" si="0"/>
        <v/>
      </c>
      <c r="E39" s="155" t="str">
        <f t="shared" si="1"/>
        <v/>
      </c>
      <c r="F39" s="181"/>
      <c r="G39" s="155" t="str">
        <f t="shared" si="2"/>
        <v/>
      </c>
      <c r="H39" s="155" t="str">
        <f t="shared" si="3"/>
        <v/>
      </c>
    </row>
    <row r="40" spans="1:8" s="152" customFormat="1" ht="11.25" customHeight="1" x14ac:dyDescent="0.2">
      <c r="B40" s="176"/>
      <c r="C40" s="156"/>
      <c r="D40" s="155" t="str">
        <f t="shared" si="0"/>
        <v/>
      </c>
      <c r="E40" s="155" t="str">
        <f t="shared" si="1"/>
        <v/>
      </c>
      <c r="F40" s="181"/>
      <c r="G40" s="155" t="str">
        <f t="shared" si="2"/>
        <v/>
      </c>
      <c r="H40" s="155" t="str">
        <f t="shared" si="3"/>
        <v/>
      </c>
    </row>
    <row r="41" spans="1:8" s="152" customFormat="1" ht="11.25" customHeight="1" x14ac:dyDescent="0.2">
      <c r="B41" s="176"/>
      <c r="C41" s="156"/>
      <c r="D41" s="155" t="str">
        <f t="shared" si="0"/>
        <v/>
      </c>
      <c r="E41" s="155" t="str">
        <f t="shared" si="1"/>
        <v/>
      </c>
      <c r="F41" s="181"/>
      <c r="G41" s="155" t="str">
        <f t="shared" si="2"/>
        <v/>
      </c>
      <c r="H41" s="155" t="str">
        <f t="shared" si="3"/>
        <v/>
      </c>
    </row>
    <row r="42" spans="1:8" s="152" customFormat="1" ht="11.25" customHeight="1" x14ac:dyDescent="0.2">
      <c r="B42" s="176"/>
      <c r="C42" s="156"/>
      <c r="D42" s="155" t="str">
        <f t="shared" si="0"/>
        <v/>
      </c>
      <c r="E42" s="155" t="str">
        <f t="shared" si="1"/>
        <v/>
      </c>
      <c r="F42" s="181"/>
      <c r="G42" s="155" t="str">
        <f t="shared" si="2"/>
        <v/>
      </c>
      <c r="H42" s="155" t="str">
        <f t="shared" si="3"/>
        <v/>
      </c>
    </row>
    <row r="43" spans="1:8" s="152" customFormat="1" ht="11.25" customHeight="1" x14ac:dyDescent="0.2">
      <c r="B43" s="176"/>
      <c r="C43" s="156"/>
      <c r="D43" s="155" t="str">
        <f t="shared" si="0"/>
        <v/>
      </c>
      <c r="E43" s="155" t="str">
        <f t="shared" si="1"/>
        <v/>
      </c>
      <c r="F43" s="181"/>
      <c r="G43" s="155" t="str">
        <f t="shared" si="2"/>
        <v/>
      </c>
      <c r="H43" s="155" t="str">
        <f t="shared" si="3"/>
        <v/>
      </c>
    </row>
    <row r="44" spans="1:8" ht="11.25" customHeight="1" x14ac:dyDescent="0.2">
      <c r="B44" s="176"/>
      <c r="C44" s="156"/>
      <c r="D44" s="155" t="str">
        <f t="shared" si="0"/>
        <v/>
      </c>
      <c r="E44" s="155" t="str">
        <f t="shared" si="1"/>
        <v/>
      </c>
      <c r="F44" s="181"/>
      <c r="G44" s="155" t="str">
        <f t="shared" si="2"/>
        <v/>
      </c>
      <c r="H44" s="155" t="str">
        <f t="shared" si="3"/>
        <v/>
      </c>
    </row>
    <row r="45" spans="1:8" ht="11.25" customHeight="1" x14ac:dyDescent="0.2">
      <c r="B45" s="176"/>
      <c r="C45" s="156"/>
      <c r="D45" s="155" t="str">
        <f t="shared" si="0"/>
        <v/>
      </c>
      <c r="E45" s="155" t="str">
        <f t="shared" si="1"/>
        <v/>
      </c>
      <c r="F45" s="181"/>
      <c r="G45" s="155" t="str">
        <f t="shared" si="2"/>
        <v/>
      </c>
      <c r="H45" s="155" t="str">
        <f t="shared" si="3"/>
        <v/>
      </c>
    </row>
    <row r="46" spans="1:8" ht="11.25" customHeight="1" x14ac:dyDescent="0.2">
      <c r="B46" s="176"/>
      <c r="C46" s="156"/>
      <c r="D46" s="155" t="str">
        <f t="shared" si="0"/>
        <v/>
      </c>
      <c r="E46" s="155" t="str">
        <f t="shared" si="1"/>
        <v/>
      </c>
      <c r="F46" s="181"/>
      <c r="G46" s="155" t="str">
        <f t="shared" si="2"/>
        <v/>
      </c>
      <c r="H46" s="155" t="str">
        <f t="shared" si="3"/>
        <v/>
      </c>
    </row>
    <row r="47" spans="1:8" ht="12" customHeight="1" thickBot="1" x14ac:dyDescent="0.25">
      <c r="B47" s="284"/>
      <c r="C47" s="285"/>
      <c r="D47" s="155" t="str">
        <f t="shared" si="0"/>
        <v/>
      </c>
      <c r="E47" s="155" t="str">
        <f t="shared" si="1"/>
        <v/>
      </c>
      <c r="F47" s="286"/>
      <c r="G47" s="155" t="str">
        <f t="shared" si="2"/>
        <v/>
      </c>
      <c r="H47" s="155" t="str">
        <f t="shared" si="3"/>
        <v/>
      </c>
    </row>
    <row r="48" spans="1:8" ht="12.75" customHeight="1" thickBot="1" x14ac:dyDescent="0.25">
      <c r="A48" s="159"/>
      <c r="B48" s="287" t="s">
        <v>831</v>
      </c>
      <c r="C48" s="288"/>
      <c r="D48" s="289"/>
      <c r="E48" s="290">
        <f>SUM(E9:E47)</f>
        <v>206.95499999999998</v>
      </c>
      <c r="F48" s="291" t="s">
        <v>831</v>
      </c>
      <c r="G48" s="288"/>
      <c r="H48" s="292">
        <f>SUM(H9:H47)</f>
        <v>642.4274999999999</v>
      </c>
    </row>
    <row r="49" spans="1:8" ht="12.75" customHeight="1" thickBot="1" x14ac:dyDescent="0.25">
      <c r="A49" s="159"/>
      <c r="B49" s="287" t="s">
        <v>832</v>
      </c>
      <c r="C49" s="288"/>
      <c r="D49" s="293"/>
      <c r="E49" s="292">
        <f>E48*10/100</f>
        <v>20.695499999999996</v>
      </c>
      <c r="F49" s="294" t="s">
        <v>832</v>
      </c>
      <c r="G49" s="295"/>
      <c r="H49" s="292">
        <f>H48*10/100</f>
        <v>64.242749999999987</v>
      </c>
    </row>
    <row r="50" spans="1:8" ht="12.75" customHeight="1" thickBot="1" x14ac:dyDescent="0.25">
      <c r="A50" s="159"/>
      <c r="B50" s="291" t="s">
        <v>24</v>
      </c>
      <c r="C50" s="288"/>
      <c r="D50" s="293"/>
      <c r="E50" s="292">
        <f>E48+E49</f>
        <v>227.65049999999997</v>
      </c>
      <c r="F50" s="291" t="s">
        <v>24</v>
      </c>
      <c r="G50" s="295"/>
      <c r="H50" s="292">
        <f>H48+H49</f>
        <v>706.6702499999999</v>
      </c>
    </row>
    <row r="51" spans="1:8" ht="12.75" customHeight="1" thickBot="1" x14ac:dyDescent="0.25">
      <c r="B51" s="291" t="s">
        <v>10</v>
      </c>
      <c r="C51" s="288"/>
      <c r="D51" s="288"/>
      <c r="E51" s="296">
        <v>105</v>
      </c>
      <c r="F51" s="291" t="s">
        <v>10</v>
      </c>
      <c r="G51" s="288"/>
      <c r="H51" s="297">
        <v>97</v>
      </c>
    </row>
    <row r="52" spans="1:8" ht="12.75" customHeight="1" thickBot="1" x14ac:dyDescent="0.25">
      <c r="B52" s="298" t="s">
        <v>1261</v>
      </c>
      <c r="C52" s="288"/>
      <c r="D52" s="288"/>
      <c r="E52" s="292">
        <f>E50/E51</f>
        <v>2.1680999999999995</v>
      </c>
      <c r="F52" s="291" t="s">
        <v>1261</v>
      </c>
      <c r="G52" s="288"/>
      <c r="H52" s="292">
        <f>H50/H51</f>
        <v>7.2852603092783497</v>
      </c>
    </row>
    <row r="53" spans="1:8" ht="12" customHeight="1" thickBot="1" x14ac:dyDescent="0.25">
      <c r="B53" s="283" t="s">
        <v>15</v>
      </c>
      <c r="C53" s="299" t="s">
        <v>1665</v>
      </c>
      <c r="D53" s="300"/>
      <c r="E53" s="300"/>
      <c r="F53" s="300"/>
      <c r="G53" s="300"/>
      <c r="H53" s="301"/>
    </row>
    <row r="54" spans="1:8" ht="12" customHeight="1" thickBot="1" x14ac:dyDescent="0.25">
      <c r="B54" s="283" t="s">
        <v>16</v>
      </c>
      <c r="C54" s="302" t="s">
        <v>1666</v>
      </c>
      <c r="D54" s="303"/>
      <c r="E54" s="303"/>
      <c r="F54" s="303"/>
      <c r="G54" s="303"/>
      <c r="H54" s="304"/>
    </row>
    <row r="55" spans="1:8" ht="12" customHeight="1" thickBot="1" x14ac:dyDescent="0.25">
      <c r="B55" s="283" t="s">
        <v>17</v>
      </c>
      <c r="C55" s="302" t="s">
        <v>1667</v>
      </c>
      <c r="D55" s="303"/>
      <c r="E55" s="303"/>
      <c r="F55" s="303"/>
      <c r="G55" s="303"/>
      <c r="H55" s="304"/>
    </row>
    <row r="56" spans="1:8" ht="12" customHeight="1" thickBot="1" x14ac:dyDescent="0.25">
      <c r="B56" s="283" t="s">
        <v>18</v>
      </c>
      <c r="C56" s="302" t="s">
        <v>1668</v>
      </c>
      <c r="D56" s="303"/>
      <c r="E56" s="303"/>
      <c r="F56" s="303"/>
      <c r="G56" s="303"/>
      <c r="H56" s="304"/>
    </row>
    <row r="57" spans="1:8" ht="12" customHeight="1" thickBot="1" x14ac:dyDescent="0.25">
      <c r="B57" s="283" t="s">
        <v>49</v>
      </c>
      <c r="C57" s="302" t="s">
        <v>1669</v>
      </c>
      <c r="D57" s="303"/>
      <c r="E57" s="303"/>
      <c r="F57" s="303"/>
      <c r="G57" s="303"/>
      <c r="H57" s="304"/>
    </row>
    <row r="58" spans="1:8" ht="12" customHeight="1" thickBot="1" x14ac:dyDescent="0.25">
      <c r="B58" s="283" t="s">
        <v>51</v>
      </c>
      <c r="C58" s="302"/>
      <c r="D58" s="303"/>
      <c r="E58" s="303"/>
      <c r="F58" s="303"/>
      <c r="G58" s="303"/>
      <c r="H58" s="304"/>
    </row>
    <row r="59" spans="1:8" ht="12" customHeight="1" thickBot="1" x14ac:dyDescent="0.25">
      <c r="B59" s="283" t="s">
        <v>47</v>
      </c>
      <c r="C59" s="302"/>
      <c r="D59" s="303"/>
      <c r="E59" s="303"/>
      <c r="F59" s="303"/>
      <c r="G59" s="303"/>
      <c r="H59" s="304"/>
    </row>
    <row r="60" spans="1:8" ht="12" customHeight="1" thickBot="1" x14ac:dyDescent="0.25">
      <c r="B60" s="283" t="s">
        <v>50</v>
      </c>
      <c r="C60" s="302"/>
      <c r="D60" s="303"/>
      <c r="E60" s="303"/>
      <c r="F60" s="303"/>
      <c r="G60" s="303"/>
      <c r="H60" s="304"/>
    </row>
    <row r="61" spans="1:8" ht="12" customHeight="1" thickBot="1" x14ac:dyDescent="0.25">
      <c r="B61" s="152"/>
      <c r="C61" s="305"/>
      <c r="D61" s="306"/>
      <c r="E61" s="306"/>
      <c r="F61" s="306"/>
      <c r="G61" s="306"/>
      <c r="H61" s="307"/>
    </row>
    <row r="62" spans="1:8" ht="21.75" customHeight="1" thickBot="1" x14ac:dyDescent="0.4">
      <c r="B62" s="277" t="s">
        <v>1889</v>
      </c>
      <c r="C62" s="278"/>
      <c r="D62" s="278"/>
      <c r="E62" s="278"/>
      <c r="F62" s="278"/>
      <c r="G62" s="278"/>
      <c r="H62" s="279"/>
    </row>
    <row r="63" spans="1:8" ht="12" customHeight="1" thickBot="1" x14ac:dyDescent="0.25">
      <c r="B63" s="280" t="s">
        <v>1891</v>
      </c>
      <c r="C63" s="281"/>
      <c r="D63" s="281"/>
      <c r="E63" s="282"/>
      <c r="F63" s="280" t="s">
        <v>1890</v>
      </c>
      <c r="G63" s="281"/>
      <c r="H63" s="282"/>
    </row>
    <row r="64" spans="1:8" ht="12" customHeight="1" thickBot="1" x14ac:dyDescent="0.25">
      <c r="B64" s="283" t="s">
        <v>1896</v>
      </c>
      <c r="C64" s="283" t="s">
        <v>20</v>
      </c>
      <c r="D64" s="283" t="s">
        <v>21</v>
      </c>
      <c r="E64" s="283" t="s">
        <v>22</v>
      </c>
      <c r="F64" s="283" t="s">
        <v>20</v>
      </c>
      <c r="G64" s="283" t="s">
        <v>21</v>
      </c>
      <c r="H64" s="283" t="s">
        <v>22</v>
      </c>
    </row>
    <row r="65" spans="2:8" s="152" customFormat="1" ht="11.25" customHeight="1" thickBot="1" x14ac:dyDescent="0.25">
      <c r="B65" s="175" t="s">
        <v>1691</v>
      </c>
      <c r="C65" s="153">
        <v>10000</v>
      </c>
      <c r="D65" s="154">
        <f t="shared" ref="D65:D105" si="4">IF(B65="","",VLOOKUP(B65,INVENTARIO,2))</f>
        <v>0.03</v>
      </c>
      <c r="E65" s="154">
        <f>IF(C65=0,"",C65*D65)</f>
        <v>300</v>
      </c>
      <c r="F65" s="185">
        <v>8000</v>
      </c>
      <c r="G65" s="154">
        <f>D65</f>
        <v>0.03</v>
      </c>
      <c r="H65" s="155">
        <f>IF(F65=0,"",F65*G65)</f>
        <v>240</v>
      </c>
    </row>
    <row r="66" spans="2:8" s="152" customFormat="1" ht="11.25" customHeight="1" x14ac:dyDescent="0.2">
      <c r="B66" s="175" t="s">
        <v>1692</v>
      </c>
      <c r="C66" s="156">
        <v>13000</v>
      </c>
      <c r="D66" s="155">
        <f t="shared" si="4"/>
        <v>0</v>
      </c>
      <c r="E66" s="155">
        <f t="shared" ref="E66:E105" si="5">IF(C66=0,"",C66*D66)</f>
        <v>0</v>
      </c>
      <c r="F66" s="181">
        <v>27000</v>
      </c>
      <c r="G66" s="155">
        <f t="shared" ref="G66:G105" si="6">D66</f>
        <v>0</v>
      </c>
      <c r="H66" s="155">
        <f t="shared" ref="H66:H105" si="7">IF(F66=0,"",F66*G66)</f>
        <v>0</v>
      </c>
    </row>
    <row r="67" spans="2:8" s="152" customFormat="1" ht="11.25" customHeight="1" x14ac:dyDescent="0.2">
      <c r="B67" s="176" t="s">
        <v>1693</v>
      </c>
      <c r="C67" s="156">
        <v>2000</v>
      </c>
      <c r="D67" s="155">
        <f t="shared" si="4"/>
        <v>0</v>
      </c>
      <c r="E67" s="155">
        <f t="shared" si="5"/>
        <v>0</v>
      </c>
      <c r="F67" s="181">
        <v>7500</v>
      </c>
      <c r="G67" s="155">
        <f t="shared" si="6"/>
        <v>0</v>
      </c>
      <c r="H67" s="155">
        <f t="shared" si="7"/>
        <v>0</v>
      </c>
    </row>
    <row r="68" spans="2:8" s="152" customFormat="1" ht="11.25" customHeight="1" x14ac:dyDescent="0.2">
      <c r="B68" s="176" t="s">
        <v>1694</v>
      </c>
      <c r="C68" s="156">
        <v>20000</v>
      </c>
      <c r="D68" s="155">
        <f t="shared" si="4"/>
        <v>1.4999999999999999E-2</v>
      </c>
      <c r="E68" s="155">
        <f t="shared" si="5"/>
        <v>300</v>
      </c>
      <c r="F68" s="181">
        <v>1000</v>
      </c>
      <c r="G68" s="155">
        <f t="shared" si="6"/>
        <v>1.4999999999999999E-2</v>
      </c>
      <c r="H68" s="155">
        <f t="shared" si="7"/>
        <v>15</v>
      </c>
    </row>
    <row r="69" spans="2:8" s="152" customFormat="1" ht="11.25" customHeight="1" x14ac:dyDescent="0.2">
      <c r="B69" s="176" t="s">
        <v>1695</v>
      </c>
      <c r="C69" s="156"/>
      <c r="D69" s="155">
        <f t="shared" si="4"/>
        <v>0.01</v>
      </c>
      <c r="E69" s="155" t="str">
        <f t="shared" si="5"/>
        <v/>
      </c>
      <c r="F69" s="181">
        <v>2000</v>
      </c>
      <c r="G69" s="155">
        <f t="shared" si="6"/>
        <v>0.01</v>
      </c>
      <c r="H69" s="155">
        <f t="shared" si="7"/>
        <v>20</v>
      </c>
    </row>
    <row r="70" spans="2:8" s="152" customFormat="1" ht="11.25" customHeight="1" x14ac:dyDescent="0.2">
      <c r="B70" s="176" t="s">
        <v>1696</v>
      </c>
      <c r="C70" s="156">
        <v>15</v>
      </c>
      <c r="D70" s="155">
        <f t="shared" si="4"/>
        <v>0.01</v>
      </c>
      <c r="E70" s="155">
        <f t="shared" si="5"/>
        <v>0.15</v>
      </c>
      <c r="F70" s="181">
        <v>2000</v>
      </c>
      <c r="G70" s="155">
        <f t="shared" si="6"/>
        <v>0.01</v>
      </c>
      <c r="H70" s="155">
        <f t="shared" si="7"/>
        <v>20</v>
      </c>
    </row>
    <row r="71" spans="2:8" s="152" customFormat="1" ht="11.25" customHeight="1" x14ac:dyDescent="0.2">
      <c r="B71" s="176" t="s">
        <v>1697</v>
      </c>
      <c r="C71" s="156">
        <v>5000</v>
      </c>
      <c r="D71" s="155">
        <f t="shared" si="4"/>
        <v>4.0000000000000001E-3</v>
      </c>
      <c r="E71" s="155">
        <f t="shared" si="5"/>
        <v>20</v>
      </c>
      <c r="F71" s="181">
        <v>15000</v>
      </c>
      <c r="G71" s="155">
        <f t="shared" si="6"/>
        <v>4.0000000000000001E-3</v>
      </c>
      <c r="H71" s="155">
        <f t="shared" si="7"/>
        <v>60</v>
      </c>
    </row>
    <row r="72" spans="2:8" s="152" customFormat="1" ht="11.25" customHeight="1" x14ac:dyDescent="0.2">
      <c r="B72" s="176" t="s">
        <v>1698</v>
      </c>
      <c r="C72" s="156">
        <v>5000</v>
      </c>
      <c r="D72" s="155">
        <f t="shared" si="4"/>
        <v>1.4E-2</v>
      </c>
      <c r="E72" s="155">
        <f t="shared" si="5"/>
        <v>70</v>
      </c>
      <c r="F72" s="181">
        <v>1000</v>
      </c>
      <c r="G72" s="155">
        <f t="shared" si="6"/>
        <v>1.4E-2</v>
      </c>
      <c r="H72" s="155">
        <f t="shared" si="7"/>
        <v>14</v>
      </c>
    </row>
    <row r="73" spans="2:8" s="152" customFormat="1" ht="11.25" customHeight="1" x14ac:dyDescent="0.2">
      <c r="B73" s="176" t="s">
        <v>1699</v>
      </c>
      <c r="C73" s="156">
        <v>200</v>
      </c>
      <c r="D73" s="155">
        <f t="shared" si="4"/>
        <v>1.166E-2</v>
      </c>
      <c r="E73" s="155">
        <f t="shared" si="5"/>
        <v>2.3319999999999999</v>
      </c>
      <c r="F73" s="181">
        <v>5000</v>
      </c>
      <c r="G73" s="155">
        <f t="shared" si="6"/>
        <v>1.166E-2</v>
      </c>
      <c r="H73" s="155">
        <f t="shared" si="7"/>
        <v>58.300000000000004</v>
      </c>
    </row>
    <row r="74" spans="2:8" s="152" customFormat="1" ht="11.25" customHeight="1" x14ac:dyDescent="0.2">
      <c r="B74" s="176" t="s">
        <v>1700</v>
      </c>
      <c r="C74" s="156">
        <v>5000</v>
      </c>
      <c r="D74" s="155">
        <f t="shared" si="4"/>
        <v>0.06</v>
      </c>
      <c r="E74" s="155">
        <f t="shared" si="5"/>
        <v>300</v>
      </c>
      <c r="F74" s="181">
        <v>5000</v>
      </c>
      <c r="G74" s="155">
        <f t="shared" si="6"/>
        <v>0.06</v>
      </c>
      <c r="H74" s="155">
        <f t="shared" si="7"/>
        <v>300</v>
      </c>
    </row>
    <row r="75" spans="2:8" s="152" customFormat="1" ht="11.25" customHeight="1" x14ac:dyDescent="0.2">
      <c r="B75" s="176" t="s">
        <v>1701</v>
      </c>
      <c r="C75" s="156">
        <v>1000</v>
      </c>
      <c r="D75" s="155">
        <f t="shared" si="4"/>
        <v>0.125</v>
      </c>
      <c r="E75" s="155">
        <f t="shared" si="5"/>
        <v>125</v>
      </c>
      <c r="F75" s="181">
        <v>600</v>
      </c>
      <c r="G75" s="155">
        <f t="shared" si="6"/>
        <v>0.125</v>
      </c>
      <c r="H75" s="155">
        <f t="shared" si="7"/>
        <v>75</v>
      </c>
    </row>
    <row r="76" spans="2:8" s="152" customFormat="1" ht="11.25" customHeight="1" x14ac:dyDescent="0.2">
      <c r="B76" s="176" t="s">
        <v>1702</v>
      </c>
      <c r="C76" s="156">
        <v>2000</v>
      </c>
      <c r="D76" s="155">
        <f t="shared" si="4"/>
        <v>1.4999999999999999E-2</v>
      </c>
      <c r="E76" s="155">
        <f t="shared" si="5"/>
        <v>30</v>
      </c>
      <c r="F76" s="181">
        <v>2000</v>
      </c>
      <c r="G76" s="155">
        <f t="shared" si="6"/>
        <v>1.4999999999999999E-2</v>
      </c>
      <c r="H76" s="155">
        <f t="shared" si="7"/>
        <v>30</v>
      </c>
    </row>
    <row r="77" spans="2:8" s="152" customFormat="1" ht="11.25" customHeight="1" x14ac:dyDescent="0.2">
      <c r="B77" s="176" t="s">
        <v>1703</v>
      </c>
      <c r="C77" s="156">
        <v>1000</v>
      </c>
      <c r="D77" s="155">
        <f t="shared" si="4"/>
        <v>6.0000000000000001E-3</v>
      </c>
      <c r="E77" s="155">
        <f t="shared" si="5"/>
        <v>6</v>
      </c>
      <c r="F77" s="181">
        <v>7500</v>
      </c>
      <c r="G77" s="155">
        <f t="shared" si="6"/>
        <v>6.0000000000000001E-3</v>
      </c>
      <c r="H77" s="155">
        <f t="shared" si="7"/>
        <v>45</v>
      </c>
    </row>
    <row r="78" spans="2:8" s="152" customFormat="1" ht="11.25" customHeight="1" x14ac:dyDescent="0.2">
      <c r="B78" s="176" t="s">
        <v>1704</v>
      </c>
      <c r="C78" s="156">
        <v>1000</v>
      </c>
      <c r="D78" s="155">
        <f t="shared" si="4"/>
        <v>8.0000000000000002E-3</v>
      </c>
      <c r="E78" s="155">
        <f t="shared" si="5"/>
        <v>8</v>
      </c>
      <c r="F78" s="181">
        <v>7000</v>
      </c>
      <c r="G78" s="155">
        <f t="shared" si="6"/>
        <v>8.0000000000000002E-3</v>
      </c>
      <c r="H78" s="155">
        <f t="shared" si="7"/>
        <v>56</v>
      </c>
    </row>
    <row r="79" spans="2:8" s="152" customFormat="1" ht="11.25" customHeight="1" x14ac:dyDescent="0.2">
      <c r="B79" s="176" t="s">
        <v>1705</v>
      </c>
      <c r="C79" s="156">
        <v>2000</v>
      </c>
      <c r="D79" s="155">
        <f t="shared" si="4"/>
        <v>1.4999999999999999E-2</v>
      </c>
      <c r="E79" s="155">
        <f t="shared" si="5"/>
        <v>30</v>
      </c>
      <c r="F79" s="181">
        <v>200</v>
      </c>
      <c r="G79" s="155">
        <f t="shared" si="6"/>
        <v>1.4999999999999999E-2</v>
      </c>
      <c r="H79" s="155">
        <f t="shared" si="7"/>
        <v>3</v>
      </c>
    </row>
    <row r="80" spans="2:8" s="152" customFormat="1" x14ac:dyDescent="0.2">
      <c r="B80" s="176" t="s">
        <v>1706</v>
      </c>
      <c r="C80" s="156">
        <v>300</v>
      </c>
      <c r="D80" s="155">
        <f t="shared" si="4"/>
        <v>1.4999999999999999E-2</v>
      </c>
      <c r="E80" s="155">
        <f t="shared" si="5"/>
        <v>4.5</v>
      </c>
      <c r="F80" s="181">
        <v>500</v>
      </c>
      <c r="G80" s="155">
        <f t="shared" si="6"/>
        <v>1.4999999999999999E-2</v>
      </c>
      <c r="H80" s="155">
        <f t="shared" si="7"/>
        <v>7.5</v>
      </c>
    </row>
    <row r="81" spans="2:8" s="152" customFormat="1" ht="11.25" customHeight="1" x14ac:dyDescent="0.2">
      <c r="B81" s="176" t="s">
        <v>1707</v>
      </c>
      <c r="C81" s="156">
        <v>600</v>
      </c>
      <c r="D81" s="155">
        <f t="shared" si="4"/>
        <v>11.74</v>
      </c>
      <c r="E81" s="155">
        <f t="shared" si="5"/>
        <v>7044</v>
      </c>
      <c r="F81" s="181">
        <v>1.5</v>
      </c>
      <c r="G81" s="155">
        <f t="shared" si="6"/>
        <v>11.74</v>
      </c>
      <c r="H81" s="155">
        <f t="shared" si="7"/>
        <v>17.61</v>
      </c>
    </row>
    <row r="82" spans="2:8" s="152" customFormat="1" ht="11.25" customHeight="1" thickBot="1" x14ac:dyDescent="0.25">
      <c r="B82" s="176" t="s">
        <v>1708</v>
      </c>
      <c r="C82" s="156">
        <v>1000</v>
      </c>
      <c r="D82" s="155">
        <f t="shared" si="4"/>
        <v>6.3829999999999998E-2</v>
      </c>
      <c r="E82" s="155">
        <f t="shared" si="5"/>
        <v>63.83</v>
      </c>
      <c r="F82" s="181">
        <v>300</v>
      </c>
      <c r="G82" s="155">
        <f t="shared" si="6"/>
        <v>6.3829999999999998E-2</v>
      </c>
      <c r="H82" s="155">
        <f t="shared" si="7"/>
        <v>19.149000000000001</v>
      </c>
    </row>
    <row r="83" spans="2:8" s="152" customFormat="1" ht="11.25" customHeight="1" x14ac:dyDescent="0.2">
      <c r="B83" s="175" t="s">
        <v>1670</v>
      </c>
      <c r="C83" s="156">
        <v>2000</v>
      </c>
      <c r="D83" s="155">
        <f t="shared" si="4"/>
        <v>4.5090000000000005E-2</v>
      </c>
      <c r="E83" s="155">
        <f t="shared" si="5"/>
        <v>90.18</v>
      </c>
      <c r="F83" s="181">
        <v>400</v>
      </c>
      <c r="G83" s="155">
        <f t="shared" si="6"/>
        <v>4.5090000000000005E-2</v>
      </c>
      <c r="H83" s="155">
        <f t="shared" si="7"/>
        <v>18.036000000000001</v>
      </c>
    </row>
    <row r="84" spans="2:8" s="152" customFormat="1" ht="11.25" customHeight="1" x14ac:dyDescent="0.2">
      <c r="B84" s="176" t="s">
        <v>1679</v>
      </c>
      <c r="C84" s="156">
        <v>2000</v>
      </c>
      <c r="D84" s="155">
        <f t="shared" si="4"/>
        <v>6.7499999999999999E-3</v>
      </c>
      <c r="E84" s="155">
        <f t="shared" si="5"/>
        <v>13.5</v>
      </c>
      <c r="F84" s="181">
        <v>200</v>
      </c>
      <c r="G84" s="155">
        <f t="shared" si="6"/>
        <v>6.7499999999999999E-3</v>
      </c>
      <c r="H84" s="155">
        <f t="shared" si="7"/>
        <v>1.35</v>
      </c>
    </row>
    <row r="85" spans="2:8" s="152" customFormat="1" ht="11.25" customHeight="1" x14ac:dyDescent="0.2">
      <c r="B85" s="176" t="s">
        <v>1709</v>
      </c>
      <c r="C85" s="156"/>
      <c r="D85" s="155">
        <f t="shared" si="4"/>
        <v>4.28E-3</v>
      </c>
      <c r="E85" s="155" t="str">
        <f t="shared" si="5"/>
        <v/>
      </c>
      <c r="F85" s="181">
        <v>3000</v>
      </c>
      <c r="G85" s="155">
        <f t="shared" si="6"/>
        <v>4.28E-3</v>
      </c>
      <c r="H85" s="155">
        <f t="shared" si="7"/>
        <v>12.84</v>
      </c>
    </row>
    <row r="86" spans="2:8" s="152" customFormat="1" ht="11.25" customHeight="1" x14ac:dyDescent="0.2">
      <c r="B86" s="176" t="s">
        <v>1710</v>
      </c>
      <c r="C86" s="156"/>
      <c r="D86" s="155">
        <f t="shared" si="4"/>
        <v>1.2538271604938271E-2</v>
      </c>
      <c r="E86" s="155" t="str">
        <f t="shared" si="5"/>
        <v/>
      </c>
      <c r="F86" s="181">
        <v>500</v>
      </c>
      <c r="G86" s="155">
        <f t="shared" si="6"/>
        <v>1.2538271604938271E-2</v>
      </c>
      <c r="H86" s="155">
        <f t="shared" si="7"/>
        <v>6.2691358024691359</v>
      </c>
    </row>
    <row r="87" spans="2:8" s="152" customFormat="1" ht="11.25" customHeight="1" x14ac:dyDescent="0.2">
      <c r="B87" s="176" t="s">
        <v>1711</v>
      </c>
      <c r="C87" s="156"/>
      <c r="D87" s="155">
        <f t="shared" si="4"/>
        <v>4</v>
      </c>
      <c r="E87" s="155" t="str">
        <f t="shared" si="5"/>
        <v/>
      </c>
      <c r="F87" s="181">
        <v>1</v>
      </c>
      <c r="G87" s="155">
        <f t="shared" si="6"/>
        <v>4</v>
      </c>
      <c r="H87" s="155">
        <f t="shared" si="7"/>
        <v>4</v>
      </c>
    </row>
    <row r="88" spans="2:8" s="152" customFormat="1" ht="11.25" customHeight="1" x14ac:dyDescent="0.2">
      <c r="B88" s="176" t="s">
        <v>1712</v>
      </c>
      <c r="C88" s="156"/>
      <c r="D88" s="155">
        <f t="shared" si="4"/>
        <v>2.5856000000000001E-2</v>
      </c>
      <c r="E88" s="155" t="str">
        <f t="shared" si="5"/>
        <v/>
      </c>
      <c r="F88" s="181">
        <v>500</v>
      </c>
      <c r="G88" s="155">
        <f t="shared" si="6"/>
        <v>2.5856000000000001E-2</v>
      </c>
      <c r="H88" s="155">
        <f t="shared" si="7"/>
        <v>12.928000000000001</v>
      </c>
    </row>
    <row r="89" spans="2:8" s="152" customFormat="1" ht="11.25" customHeight="1" x14ac:dyDescent="0.2">
      <c r="B89" s="176" t="s">
        <v>1713</v>
      </c>
      <c r="C89" s="156"/>
      <c r="D89" s="155">
        <f t="shared" si="4"/>
        <v>8.6999999999999994E-2</v>
      </c>
      <c r="E89" s="155" t="str">
        <f t="shared" si="5"/>
        <v/>
      </c>
      <c r="F89" s="181">
        <v>500</v>
      </c>
      <c r="G89" s="155">
        <f t="shared" si="6"/>
        <v>8.6999999999999994E-2</v>
      </c>
      <c r="H89" s="155">
        <f t="shared" si="7"/>
        <v>43.5</v>
      </c>
    </row>
    <row r="90" spans="2:8" s="152" customFormat="1" ht="11.25" customHeight="1" x14ac:dyDescent="0.2">
      <c r="B90" s="176"/>
      <c r="C90" s="156"/>
      <c r="D90" s="155" t="str">
        <f t="shared" si="4"/>
        <v/>
      </c>
      <c r="E90" s="155" t="str">
        <f t="shared" si="5"/>
        <v/>
      </c>
      <c r="F90" s="181"/>
      <c r="G90" s="155" t="str">
        <f t="shared" si="6"/>
        <v/>
      </c>
      <c r="H90" s="155" t="str">
        <f t="shared" si="7"/>
        <v/>
      </c>
    </row>
    <row r="91" spans="2:8" s="152" customFormat="1" ht="11.25" customHeight="1" x14ac:dyDescent="0.2">
      <c r="B91" s="176"/>
      <c r="C91" s="156"/>
      <c r="D91" s="155" t="str">
        <f t="shared" si="4"/>
        <v/>
      </c>
      <c r="E91" s="155" t="str">
        <f t="shared" si="5"/>
        <v/>
      </c>
      <c r="F91" s="181"/>
      <c r="G91" s="155" t="str">
        <f t="shared" si="6"/>
        <v/>
      </c>
      <c r="H91" s="155" t="str">
        <f t="shared" si="7"/>
        <v/>
      </c>
    </row>
    <row r="92" spans="2:8" s="152" customFormat="1" ht="11.25" customHeight="1" x14ac:dyDescent="0.2">
      <c r="B92" s="176"/>
      <c r="C92" s="156"/>
      <c r="D92" s="155" t="str">
        <f t="shared" si="4"/>
        <v/>
      </c>
      <c r="E92" s="155" t="str">
        <f t="shared" si="5"/>
        <v/>
      </c>
      <c r="F92" s="181"/>
      <c r="G92" s="155" t="str">
        <f t="shared" si="6"/>
        <v/>
      </c>
      <c r="H92" s="155" t="str">
        <f t="shared" si="7"/>
        <v/>
      </c>
    </row>
    <row r="93" spans="2:8" s="152" customFormat="1" ht="11.25" customHeight="1" x14ac:dyDescent="0.2">
      <c r="B93" s="176"/>
      <c r="C93" s="156"/>
      <c r="D93" s="155" t="str">
        <f t="shared" si="4"/>
        <v/>
      </c>
      <c r="E93" s="155" t="str">
        <f t="shared" si="5"/>
        <v/>
      </c>
      <c r="F93" s="181"/>
      <c r="G93" s="155" t="str">
        <f t="shared" si="6"/>
        <v/>
      </c>
      <c r="H93" s="155" t="str">
        <f t="shared" si="7"/>
        <v/>
      </c>
    </row>
    <row r="94" spans="2:8" s="152" customFormat="1" ht="11.25" customHeight="1" x14ac:dyDescent="0.2">
      <c r="B94" s="176"/>
      <c r="C94" s="156"/>
      <c r="D94" s="155" t="str">
        <f t="shared" si="4"/>
        <v/>
      </c>
      <c r="E94" s="155" t="str">
        <f t="shared" si="5"/>
        <v/>
      </c>
      <c r="F94" s="181"/>
      <c r="G94" s="155" t="str">
        <f t="shared" si="6"/>
        <v/>
      </c>
      <c r="H94" s="155" t="str">
        <f t="shared" si="7"/>
        <v/>
      </c>
    </row>
    <row r="95" spans="2:8" s="152" customFormat="1" ht="11.25" customHeight="1" x14ac:dyDescent="0.2">
      <c r="B95" s="176"/>
      <c r="C95" s="156"/>
      <c r="D95" s="155" t="str">
        <f t="shared" si="4"/>
        <v/>
      </c>
      <c r="E95" s="155" t="str">
        <f t="shared" si="5"/>
        <v/>
      </c>
      <c r="F95" s="181"/>
      <c r="G95" s="155" t="str">
        <f t="shared" si="6"/>
        <v/>
      </c>
      <c r="H95" s="155" t="str">
        <f t="shared" si="7"/>
        <v/>
      </c>
    </row>
    <row r="96" spans="2:8" s="152" customFormat="1" ht="11.25" customHeight="1" x14ac:dyDescent="0.2">
      <c r="B96" s="176"/>
      <c r="C96" s="156"/>
      <c r="D96" s="155" t="str">
        <f t="shared" si="4"/>
        <v/>
      </c>
      <c r="E96" s="155" t="str">
        <f t="shared" si="5"/>
        <v/>
      </c>
      <c r="F96" s="181"/>
      <c r="G96" s="155" t="str">
        <f t="shared" si="6"/>
        <v/>
      </c>
      <c r="H96" s="155" t="str">
        <f t="shared" si="7"/>
        <v/>
      </c>
    </row>
    <row r="97" spans="1:8" s="152" customFormat="1" ht="11.25" customHeight="1" x14ac:dyDescent="0.2">
      <c r="B97" s="176"/>
      <c r="C97" s="156"/>
      <c r="D97" s="155" t="str">
        <f t="shared" si="4"/>
        <v/>
      </c>
      <c r="E97" s="155" t="str">
        <f t="shared" si="5"/>
        <v/>
      </c>
      <c r="F97" s="181"/>
      <c r="G97" s="155" t="str">
        <f t="shared" si="6"/>
        <v/>
      </c>
      <c r="H97" s="155" t="str">
        <f t="shared" si="7"/>
        <v/>
      </c>
    </row>
    <row r="98" spans="1:8" s="152" customFormat="1" ht="11.25" customHeight="1" x14ac:dyDescent="0.2">
      <c r="B98" s="176"/>
      <c r="C98" s="156"/>
      <c r="D98" s="155" t="str">
        <f t="shared" si="4"/>
        <v/>
      </c>
      <c r="E98" s="155" t="str">
        <f t="shared" si="5"/>
        <v/>
      </c>
      <c r="F98" s="181"/>
      <c r="G98" s="155" t="str">
        <f t="shared" si="6"/>
        <v/>
      </c>
      <c r="H98" s="155" t="str">
        <f t="shared" si="7"/>
        <v/>
      </c>
    </row>
    <row r="99" spans="1:8" s="152" customFormat="1" ht="11.25" customHeight="1" x14ac:dyDescent="0.2">
      <c r="B99" s="176"/>
      <c r="C99" s="156"/>
      <c r="D99" s="155" t="str">
        <f t="shared" si="4"/>
        <v/>
      </c>
      <c r="E99" s="155" t="str">
        <f t="shared" si="5"/>
        <v/>
      </c>
      <c r="F99" s="181"/>
      <c r="G99" s="155" t="str">
        <f t="shared" si="6"/>
        <v/>
      </c>
      <c r="H99" s="155" t="str">
        <f t="shared" si="7"/>
        <v/>
      </c>
    </row>
    <row r="100" spans="1:8" ht="11.25" customHeight="1" x14ac:dyDescent="0.2">
      <c r="B100" s="176"/>
      <c r="C100" s="156"/>
      <c r="D100" s="155" t="str">
        <f t="shared" si="4"/>
        <v/>
      </c>
      <c r="E100" s="155" t="str">
        <f t="shared" si="5"/>
        <v/>
      </c>
      <c r="F100" s="181"/>
      <c r="G100" s="155" t="str">
        <f t="shared" si="6"/>
        <v/>
      </c>
      <c r="H100" s="155" t="str">
        <f t="shared" si="7"/>
        <v/>
      </c>
    </row>
    <row r="101" spans="1:8" ht="11.25" customHeight="1" x14ac:dyDescent="0.2">
      <c r="B101" s="176"/>
      <c r="C101" s="156"/>
      <c r="D101" s="155" t="str">
        <f t="shared" si="4"/>
        <v/>
      </c>
      <c r="E101" s="155" t="str">
        <f t="shared" si="5"/>
        <v/>
      </c>
      <c r="F101" s="181"/>
      <c r="G101" s="155" t="str">
        <f t="shared" si="6"/>
        <v/>
      </c>
      <c r="H101" s="155" t="str">
        <f t="shared" si="7"/>
        <v/>
      </c>
    </row>
    <row r="102" spans="1:8" ht="11.25" customHeight="1" x14ac:dyDescent="0.2">
      <c r="B102" s="176"/>
      <c r="C102" s="156"/>
      <c r="D102" s="155" t="str">
        <f t="shared" si="4"/>
        <v/>
      </c>
      <c r="E102" s="155" t="str">
        <f t="shared" si="5"/>
        <v/>
      </c>
      <c r="F102" s="181"/>
      <c r="G102" s="155" t="str">
        <f t="shared" si="6"/>
        <v/>
      </c>
      <c r="H102" s="155" t="str">
        <f t="shared" si="7"/>
        <v/>
      </c>
    </row>
    <row r="103" spans="1:8" ht="11.25" customHeight="1" x14ac:dyDescent="0.2">
      <c r="B103" s="176"/>
      <c r="C103" s="156"/>
      <c r="D103" s="155" t="str">
        <f t="shared" si="4"/>
        <v/>
      </c>
      <c r="E103" s="155" t="str">
        <f t="shared" si="5"/>
        <v/>
      </c>
      <c r="F103" s="308"/>
      <c r="G103" s="155" t="str">
        <f t="shared" si="6"/>
        <v/>
      </c>
      <c r="H103" s="155"/>
    </row>
    <row r="104" spans="1:8" ht="11.25" customHeight="1" x14ac:dyDescent="0.2">
      <c r="B104" s="176"/>
      <c r="C104" s="156"/>
      <c r="D104" s="155" t="str">
        <f t="shared" si="4"/>
        <v/>
      </c>
      <c r="E104" s="155" t="str">
        <f t="shared" si="5"/>
        <v/>
      </c>
      <c r="F104" s="308"/>
      <c r="G104" s="155" t="str">
        <f t="shared" si="6"/>
        <v/>
      </c>
      <c r="H104" s="155"/>
    </row>
    <row r="105" spans="1:8" ht="12" customHeight="1" thickBot="1" x14ac:dyDescent="0.25">
      <c r="B105" s="284"/>
      <c r="C105" s="285"/>
      <c r="D105" s="309" t="str">
        <f t="shared" si="4"/>
        <v/>
      </c>
      <c r="E105" s="310" t="str">
        <f t="shared" si="5"/>
        <v/>
      </c>
      <c r="F105" s="286"/>
      <c r="G105" s="309" t="str">
        <f t="shared" si="6"/>
        <v/>
      </c>
      <c r="H105" s="155" t="str">
        <f t="shared" si="7"/>
        <v/>
      </c>
    </row>
    <row r="106" spans="1:8" ht="12.75" customHeight="1" thickBot="1" x14ac:dyDescent="0.25">
      <c r="A106" s="159"/>
      <c r="B106" s="287" t="s">
        <v>831</v>
      </c>
      <c r="C106" s="288"/>
      <c r="D106" s="311"/>
      <c r="E106" s="154">
        <f>SUM(E65:E105)</f>
        <v>8407.4920000000002</v>
      </c>
      <c r="F106" s="287" t="s">
        <v>831</v>
      </c>
      <c r="G106" s="288"/>
      <c r="H106" s="292">
        <f>SUM(H65:H105)</f>
        <v>1079.4821358024692</v>
      </c>
    </row>
    <row r="107" spans="1:8" ht="12.75" customHeight="1" thickBot="1" x14ac:dyDescent="0.25">
      <c r="A107" s="159"/>
      <c r="B107" s="287" t="s">
        <v>832</v>
      </c>
      <c r="C107" s="288"/>
      <c r="D107" s="288"/>
      <c r="E107" s="155">
        <f>E106*10/100</f>
        <v>840.74919999999997</v>
      </c>
      <c r="F107" s="312" t="s">
        <v>832</v>
      </c>
      <c r="G107" s="295"/>
      <c r="H107" s="292">
        <f>H106*10/100</f>
        <v>107.94821358024691</v>
      </c>
    </row>
    <row r="108" spans="1:8" ht="12.75" customHeight="1" thickBot="1" x14ac:dyDescent="0.25">
      <c r="A108" s="159"/>
      <c r="B108" s="287" t="s">
        <v>24</v>
      </c>
      <c r="C108" s="288"/>
      <c r="D108" s="288"/>
      <c r="E108" s="155">
        <f>E106+E107</f>
        <v>9248.2412000000004</v>
      </c>
      <c r="F108" s="287" t="s">
        <v>24</v>
      </c>
      <c r="G108" s="295"/>
      <c r="H108" s="292">
        <f>H106+H107</f>
        <v>1187.430349382716</v>
      </c>
    </row>
    <row r="109" spans="1:8" ht="12.75" customHeight="1" thickBot="1" x14ac:dyDescent="0.25">
      <c r="B109" s="291" t="s">
        <v>10</v>
      </c>
      <c r="C109" s="288"/>
      <c r="D109" s="288"/>
      <c r="E109" s="313">
        <v>75</v>
      </c>
      <c r="F109" s="287" t="s">
        <v>10</v>
      </c>
      <c r="G109" s="288"/>
      <c r="H109" s="314">
        <v>64</v>
      </c>
    </row>
    <row r="110" spans="1:8" ht="12.75" customHeight="1" thickBot="1" x14ac:dyDescent="0.25">
      <c r="B110" s="298" t="s">
        <v>1261</v>
      </c>
      <c r="C110" s="288"/>
      <c r="D110" s="288"/>
      <c r="E110" s="309">
        <f>E108/E109</f>
        <v>123.30988266666667</v>
      </c>
      <c r="F110" s="287" t="s">
        <v>1261</v>
      </c>
      <c r="G110" s="288"/>
      <c r="H110" s="292">
        <f>H108/H109</f>
        <v>18.553599209104938</v>
      </c>
    </row>
    <row r="111" spans="1:8" ht="12" customHeight="1" thickBot="1" x14ac:dyDescent="0.25">
      <c r="B111" s="283" t="s">
        <v>48</v>
      </c>
      <c r="C111" s="315" t="s">
        <v>1682</v>
      </c>
      <c r="D111" s="316"/>
      <c r="E111" s="317"/>
      <c r="F111" s="316"/>
      <c r="G111" s="316"/>
      <c r="H111" s="318"/>
    </row>
    <row r="112" spans="1:8" ht="12" customHeight="1" thickBot="1" x14ac:dyDescent="0.25">
      <c r="B112" s="283" t="s">
        <v>15</v>
      </c>
      <c r="C112" s="302" t="s">
        <v>1683</v>
      </c>
      <c r="D112" s="303"/>
      <c r="E112" s="303"/>
      <c r="F112" s="303"/>
      <c r="G112" s="303"/>
      <c r="H112" s="304"/>
    </row>
    <row r="113" spans="2:8" ht="12" customHeight="1" thickBot="1" x14ac:dyDescent="0.25">
      <c r="B113" s="283" t="s">
        <v>16</v>
      </c>
      <c r="C113" s="302" t="s">
        <v>1684</v>
      </c>
      <c r="D113" s="303"/>
      <c r="E113" s="303"/>
      <c r="F113" s="303"/>
      <c r="G113" s="303"/>
      <c r="H113" s="304"/>
    </row>
    <row r="114" spans="2:8" ht="12" customHeight="1" thickBot="1" x14ac:dyDescent="0.25">
      <c r="B114" s="283" t="s">
        <v>17</v>
      </c>
      <c r="C114" s="302" t="s">
        <v>1685</v>
      </c>
      <c r="D114" s="303"/>
      <c r="E114" s="303"/>
      <c r="F114" s="303"/>
      <c r="G114" s="303"/>
      <c r="H114" s="304"/>
    </row>
    <row r="115" spans="2:8" ht="12" customHeight="1" thickBot="1" x14ac:dyDescent="0.25">
      <c r="B115" s="283" t="s">
        <v>18</v>
      </c>
      <c r="C115" s="302" t="s">
        <v>1686</v>
      </c>
      <c r="D115" s="303"/>
      <c r="E115" s="303"/>
      <c r="F115" s="303"/>
      <c r="G115" s="303"/>
      <c r="H115" s="304"/>
    </row>
    <row r="116" spans="2:8" ht="12" customHeight="1" thickBot="1" x14ac:dyDescent="0.25">
      <c r="B116" s="283" t="s">
        <v>49</v>
      </c>
      <c r="C116" s="302" t="s">
        <v>1687</v>
      </c>
      <c r="D116" s="303"/>
      <c r="E116" s="303"/>
      <c r="F116" s="303"/>
      <c r="G116" s="303"/>
      <c r="H116" s="304"/>
    </row>
    <row r="117" spans="2:8" ht="12" customHeight="1" thickBot="1" x14ac:dyDescent="0.25">
      <c r="B117" s="283" t="s">
        <v>51</v>
      </c>
      <c r="C117" s="302" t="s">
        <v>1688</v>
      </c>
      <c r="D117" s="303"/>
      <c r="E117" s="303"/>
      <c r="F117" s="303"/>
      <c r="G117" s="303"/>
      <c r="H117" s="304"/>
    </row>
    <row r="118" spans="2:8" ht="12" customHeight="1" thickBot="1" x14ac:dyDescent="0.25">
      <c r="B118" s="283" t="s">
        <v>47</v>
      </c>
      <c r="C118" s="302" t="s">
        <v>1689</v>
      </c>
      <c r="D118" s="303"/>
      <c r="E118" s="303"/>
      <c r="F118" s="303"/>
      <c r="G118" s="303"/>
      <c r="H118" s="304"/>
    </row>
    <row r="119" spans="2:8" ht="12" customHeight="1" thickBot="1" x14ac:dyDescent="0.25">
      <c r="B119" s="283" t="s">
        <v>50</v>
      </c>
      <c r="C119" s="305" t="s">
        <v>1690</v>
      </c>
      <c r="D119" s="306"/>
      <c r="E119" s="306"/>
      <c r="F119" s="306"/>
      <c r="G119" s="306"/>
      <c r="H119" s="307"/>
    </row>
    <row r="120" spans="2:8" ht="12" customHeight="1" thickBot="1" x14ac:dyDescent="0.25">
      <c r="B120" s="152"/>
      <c r="C120" s="319"/>
      <c r="D120" s="319"/>
      <c r="E120" s="319"/>
      <c r="F120" s="319"/>
      <c r="G120" s="319"/>
      <c r="H120" s="319"/>
    </row>
    <row r="121" spans="2:8" ht="21.75" customHeight="1" thickBot="1" x14ac:dyDescent="0.4">
      <c r="B121" s="277" t="s">
        <v>1892</v>
      </c>
      <c r="C121" s="278"/>
      <c r="D121" s="278"/>
      <c r="E121" s="278"/>
      <c r="F121" s="278"/>
      <c r="G121" s="278"/>
      <c r="H121" s="279"/>
    </row>
    <row r="122" spans="2:8" ht="12" customHeight="1" thickBot="1" x14ac:dyDescent="0.25">
      <c r="B122" s="280" t="s">
        <v>1891</v>
      </c>
      <c r="C122" s="281"/>
      <c r="D122" s="281"/>
      <c r="E122" s="282"/>
      <c r="F122" s="280" t="s">
        <v>1890</v>
      </c>
      <c r="G122" s="281"/>
      <c r="H122" s="282"/>
    </row>
    <row r="123" spans="2:8" ht="12" customHeight="1" thickBot="1" x14ac:dyDescent="0.25">
      <c r="B123" s="283" t="s">
        <v>1896</v>
      </c>
      <c r="C123" s="283" t="s">
        <v>20</v>
      </c>
      <c r="D123" s="283" t="s">
        <v>21</v>
      </c>
      <c r="E123" s="283" t="s">
        <v>22</v>
      </c>
      <c r="F123" s="283" t="s">
        <v>20</v>
      </c>
      <c r="G123" s="283" t="s">
        <v>21</v>
      </c>
      <c r="H123" s="283" t="s">
        <v>22</v>
      </c>
    </row>
    <row r="124" spans="2:8" s="152" customFormat="1" ht="11.25" customHeight="1" thickBot="1" x14ac:dyDescent="0.25">
      <c r="B124" s="175" t="s">
        <v>1723</v>
      </c>
      <c r="C124" s="153">
        <v>8000</v>
      </c>
      <c r="D124" s="154">
        <f t="shared" ref="D124:D163" si="8">IF(B124="","",VLOOKUP(B124,INVENTARIO,2))</f>
        <v>3.3000000000000002E-2</v>
      </c>
      <c r="E124" s="154">
        <f>IF(C124=0,"",C124*D124)</f>
        <v>264</v>
      </c>
      <c r="F124" s="185">
        <v>12000</v>
      </c>
      <c r="G124" s="154">
        <f>D124</f>
        <v>3.3000000000000002E-2</v>
      </c>
      <c r="H124" s="155">
        <f>IF(F124=0,"",F124*G124)</f>
        <v>396</v>
      </c>
    </row>
    <row r="125" spans="2:8" s="152" customFormat="1" ht="11.25" customHeight="1" thickBot="1" x14ac:dyDescent="0.25">
      <c r="B125" s="175" t="s">
        <v>1724</v>
      </c>
      <c r="C125" s="156">
        <v>20000</v>
      </c>
      <c r="D125" s="155">
        <f t="shared" si="8"/>
        <v>4.3999999999999997E-2</v>
      </c>
      <c r="E125" s="155">
        <f t="shared" ref="E125:E163" si="9">IF(C125=0,"",C125*D125)</f>
        <v>880</v>
      </c>
      <c r="F125" s="181">
        <v>8500</v>
      </c>
      <c r="G125" s="155">
        <f t="shared" ref="G125:G163" si="10">D125</f>
        <v>4.3999999999999997E-2</v>
      </c>
      <c r="H125" s="155">
        <f t="shared" ref="H125:H163" si="11">IF(F125=0,"",F125*G125)</f>
        <v>374</v>
      </c>
    </row>
    <row r="126" spans="2:8" s="152" customFormat="1" ht="11.25" customHeight="1" x14ac:dyDescent="0.2">
      <c r="B126" s="175" t="s">
        <v>1725</v>
      </c>
      <c r="C126" s="156">
        <v>8000</v>
      </c>
      <c r="D126" s="155">
        <f t="shared" si="8"/>
        <v>3.5000000000000003E-2</v>
      </c>
      <c r="E126" s="155">
        <f t="shared" si="9"/>
        <v>280</v>
      </c>
      <c r="F126" s="181">
        <v>1000</v>
      </c>
      <c r="G126" s="155">
        <f t="shared" si="10"/>
        <v>3.5000000000000003E-2</v>
      </c>
      <c r="H126" s="155">
        <f t="shared" si="11"/>
        <v>35</v>
      </c>
    </row>
    <row r="127" spans="2:8" s="152" customFormat="1" ht="11.25" customHeight="1" x14ac:dyDescent="0.2">
      <c r="B127" s="176" t="s">
        <v>1694</v>
      </c>
      <c r="C127" s="156">
        <v>5000</v>
      </c>
      <c r="D127" s="155">
        <f t="shared" si="8"/>
        <v>1.4999999999999999E-2</v>
      </c>
      <c r="E127" s="155">
        <f t="shared" si="9"/>
        <v>75</v>
      </c>
      <c r="F127" s="181">
        <v>500</v>
      </c>
      <c r="G127" s="155">
        <f t="shared" si="10"/>
        <v>1.4999999999999999E-2</v>
      </c>
      <c r="H127" s="155">
        <f t="shared" si="11"/>
        <v>7.5</v>
      </c>
    </row>
    <row r="128" spans="2:8" s="152" customFormat="1" ht="11.25" customHeight="1" x14ac:dyDescent="0.2">
      <c r="B128" s="176" t="s">
        <v>1702</v>
      </c>
      <c r="C128" s="156">
        <v>5000</v>
      </c>
      <c r="D128" s="155">
        <f t="shared" si="8"/>
        <v>1.4999999999999999E-2</v>
      </c>
      <c r="E128" s="155">
        <f t="shared" si="9"/>
        <v>75</v>
      </c>
      <c r="F128" s="181">
        <v>600</v>
      </c>
      <c r="G128" s="155">
        <f t="shared" si="10"/>
        <v>1.4999999999999999E-2</v>
      </c>
      <c r="H128" s="155">
        <f t="shared" si="11"/>
        <v>9</v>
      </c>
    </row>
    <row r="129" spans="2:8" s="152" customFormat="1" ht="11.25" customHeight="1" x14ac:dyDescent="0.2">
      <c r="B129" s="176" t="s">
        <v>1698</v>
      </c>
      <c r="C129" s="156"/>
      <c r="D129" s="155">
        <f t="shared" si="8"/>
        <v>1.4E-2</v>
      </c>
      <c r="E129" s="155" t="str">
        <f t="shared" si="9"/>
        <v/>
      </c>
      <c r="F129" s="181">
        <v>4500</v>
      </c>
      <c r="G129" s="155">
        <f t="shared" si="10"/>
        <v>1.4E-2</v>
      </c>
      <c r="H129" s="155">
        <f t="shared" si="11"/>
        <v>63</v>
      </c>
    </row>
    <row r="130" spans="2:8" s="152" customFormat="1" ht="11.25" customHeight="1" x14ac:dyDescent="0.2">
      <c r="B130" s="176" t="s">
        <v>1701</v>
      </c>
      <c r="C130" s="156">
        <v>2000</v>
      </c>
      <c r="D130" s="155">
        <f t="shared" si="8"/>
        <v>0.125</v>
      </c>
      <c r="E130" s="155">
        <f t="shared" si="9"/>
        <v>250</v>
      </c>
      <c r="F130" s="181">
        <v>200</v>
      </c>
      <c r="G130" s="155">
        <f t="shared" si="10"/>
        <v>0.125</v>
      </c>
      <c r="H130" s="155">
        <f t="shared" si="11"/>
        <v>25</v>
      </c>
    </row>
    <row r="131" spans="2:8" s="152" customFormat="1" ht="11.25" customHeight="1" x14ac:dyDescent="0.2">
      <c r="B131" s="176" t="s">
        <v>1726</v>
      </c>
      <c r="C131" s="156">
        <v>30</v>
      </c>
      <c r="D131" s="155">
        <f t="shared" si="8"/>
        <v>8.0000000000000002E-3</v>
      </c>
      <c r="E131" s="155">
        <f t="shared" si="9"/>
        <v>0.24</v>
      </c>
      <c r="F131" s="181">
        <v>1500</v>
      </c>
      <c r="G131" s="155">
        <f t="shared" si="10"/>
        <v>8.0000000000000002E-3</v>
      </c>
      <c r="H131" s="155">
        <f t="shared" si="11"/>
        <v>12</v>
      </c>
    </row>
    <row r="132" spans="2:8" s="152" customFormat="1" ht="11.25" customHeight="1" x14ac:dyDescent="0.2">
      <c r="B132" s="176" t="s">
        <v>1727</v>
      </c>
      <c r="C132" s="156">
        <v>8000</v>
      </c>
      <c r="D132" s="155">
        <f t="shared" si="8"/>
        <v>5.0000000000000001E-3</v>
      </c>
      <c r="E132" s="155">
        <f t="shared" si="9"/>
        <v>40</v>
      </c>
      <c r="F132" s="181">
        <v>2000</v>
      </c>
      <c r="G132" s="155">
        <f t="shared" si="10"/>
        <v>5.0000000000000001E-3</v>
      </c>
      <c r="H132" s="155">
        <f t="shared" si="11"/>
        <v>10</v>
      </c>
    </row>
    <row r="133" spans="2:8" s="152" customFormat="1" ht="11.25" customHeight="1" x14ac:dyDescent="0.2">
      <c r="B133" s="176" t="s">
        <v>1728</v>
      </c>
      <c r="C133" s="156"/>
      <c r="D133" s="155">
        <f t="shared" si="8"/>
        <v>1.4E-2</v>
      </c>
      <c r="E133" s="155" t="str">
        <f t="shared" si="9"/>
        <v/>
      </c>
      <c r="F133" s="181">
        <v>3000</v>
      </c>
      <c r="G133" s="155">
        <f t="shared" si="10"/>
        <v>1.4E-2</v>
      </c>
      <c r="H133" s="155">
        <f t="shared" si="11"/>
        <v>42</v>
      </c>
    </row>
    <row r="134" spans="2:8" s="152" customFormat="1" ht="11.25" customHeight="1" x14ac:dyDescent="0.2">
      <c r="B134" s="176" t="s">
        <v>1729</v>
      </c>
      <c r="C134" s="156">
        <v>4000</v>
      </c>
      <c r="D134" s="155">
        <f t="shared" si="8"/>
        <v>1.3859999999999999E-2</v>
      </c>
      <c r="E134" s="155">
        <f t="shared" si="9"/>
        <v>55.44</v>
      </c>
      <c r="F134" s="181">
        <v>15000</v>
      </c>
      <c r="G134" s="155">
        <f t="shared" si="10"/>
        <v>1.3859999999999999E-2</v>
      </c>
      <c r="H134" s="155">
        <f t="shared" si="11"/>
        <v>207.89999999999998</v>
      </c>
    </row>
    <row r="135" spans="2:8" s="152" customFormat="1" ht="11.25" customHeight="1" x14ac:dyDescent="0.2">
      <c r="B135" s="176" t="s">
        <v>1708</v>
      </c>
      <c r="C135" s="156">
        <v>4000</v>
      </c>
      <c r="D135" s="155">
        <f t="shared" si="8"/>
        <v>6.3829999999999998E-2</v>
      </c>
      <c r="E135" s="155">
        <f t="shared" si="9"/>
        <v>255.32</v>
      </c>
      <c r="F135" s="181">
        <v>600</v>
      </c>
      <c r="G135" s="155">
        <f t="shared" si="10"/>
        <v>6.3829999999999998E-2</v>
      </c>
      <c r="H135" s="155">
        <f t="shared" si="11"/>
        <v>38.298000000000002</v>
      </c>
    </row>
    <row r="136" spans="2:8" s="152" customFormat="1" ht="11.25" customHeight="1" x14ac:dyDescent="0.2">
      <c r="B136" s="176" t="s">
        <v>1680</v>
      </c>
      <c r="C136" s="156">
        <v>4000</v>
      </c>
      <c r="D136" s="155">
        <f t="shared" si="8"/>
        <v>1.5</v>
      </c>
      <c r="E136" s="155">
        <f t="shared" si="9"/>
        <v>6000</v>
      </c>
      <c r="F136" s="181">
        <v>10</v>
      </c>
      <c r="G136" s="155">
        <f t="shared" si="10"/>
        <v>1.5</v>
      </c>
      <c r="H136" s="155">
        <f t="shared" si="11"/>
        <v>15</v>
      </c>
    </row>
    <row r="137" spans="2:8" s="152" customFormat="1" ht="11.25" customHeight="1" x14ac:dyDescent="0.2">
      <c r="B137" s="176" t="s">
        <v>1673</v>
      </c>
      <c r="C137" s="156">
        <v>2000</v>
      </c>
      <c r="D137" s="155">
        <f t="shared" si="8"/>
        <v>1.5090000000000001E-2</v>
      </c>
      <c r="E137" s="155">
        <f t="shared" si="9"/>
        <v>30.180000000000003</v>
      </c>
      <c r="F137" s="181">
        <v>1500</v>
      </c>
      <c r="G137" s="155">
        <f t="shared" si="10"/>
        <v>1.5090000000000001E-2</v>
      </c>
      <c r="H137" s="155">
        <f t="shared" si="11"/>
        <v>22.635000000000002</v>
      </c>
    </row>
    <row r="138" spans="2:8" s="152" customFormat="1" ht="11.25" customHeight="1" x14ac:dyDescent="0.2">
      <c r="B138" s="176" t="s">
        <v>1730</v>
      </c>
      <c r="C138" s="156"/>
      <c r="D138" s="155">
        <f t="shared" si="8"/>
        <v>5.2699999999999995E-3</v>
      </c>
      <c r="E138" s="155"/>
      <c r="F138" s="181">
        <v>1000</v>
      </c>
      <c r="G138" s="155">
        <f t="shared" si="10"/>
        <v>5.2699999999999995E-3</v>
      </c>
      <c r="H138" s="155">
        <f t="shared" si="11"/>
        <v>5.27</v>
      </c>
    </row>
    <row r="139" spans="2:8" s="152" customFormat="1" ht="11.25" customHeight="1" x14ac:dyDescent="0.2">
      <c r="B139" s="176" t="s">
        <v>1731</v>
      </c>
      <c r="C139" s="156"/>
      <c r="D139" s="155">
        <f t="shared" si="8"/>
        <v>1.2219999999999998E-2</v>
      </c>
      <c r="E139" s="155"/>
      <c r="F139" s="181">
        <v>3000</v>
      </c>
      <c r="G139" s="155">
        <f t="shared" si="10"/>
        <v>1.2219999999999998E-2</v>
      </c>
      <c r="H139" s="155">
        <f t="shared" si="11"/>
        <v>36.659999999999997</v>
      </c>
    </row>
    <row r="140" spans="2:8" s="152" customFormat="1" ht="11.25" customHeight="1" x14ac:dyDescent="0.2">
      <c r="B140" s="176" t="s">
        <v>1732</v>
      </c>
      <c r="C140" s="156"/>
      <c r="D140" s="155">
        <f t="shared" si="8"/>
        <v>78.273333333333326</v>
      </c>
      <c r="E140" s="155"/>
      <c r="F140" s="181">
        <v>1</v>
      </c>
      <c r="G140" s="155">
        <f t="shared" si="10"/>
        <v>78.273333333333326</v>
      </c>
      <c r="H140" s="155">
        <f t="shared" si="11"/>
        <v>78.273333333333326</v>
      </c>
    </row>
    <row r="141" spans="2:8" s="152" customFormat="1" ht="11.25" customHeight="1" x14ac:dyDescent="0.2">
      <c r="B141" s="176" t="s">
        <v>1709</v>
      </c>
      <c r="C141" s="156"/>
      <c r="D141" s="155">
        <f t="shared" si="8"/>
        <v>4.28E-3</v>
      </c>
      <c r="E141" s="155"/>
      <c r="F141" s="181">
        <v>3000</v>
      </c>
      <c r="G141" s="155">
        <f t="shared" si="10"/>
        <v>4.28E-3</v>
      </c>
      <c r="H141" s="155">
        <f t="shared" si="11"/>
        <v>12.84</v>
      </c>
    </row>
    <row r="142" spans="2:8" s="152" customFormat="1" ht="11.25" customHeight="1" x14ac:dyDescent="0.2">
      <c r="B142" s="176" t="s">
        <v>1733</v>
      </c>
      <c r="C142" s="156"/>
      <c r="D142" s="155">
        <f t="shared" si="8"/>
        <v>1.2E-2</v>
      </c>
      <c r="E142" s="155"/>
      <c r="F142" s="181">
        <v>4000</v>
      </c>
      <c r="G142" s="155">
        <f t="shared" si="10"/>
        <v>1.2E-2</v>
      </c>
      <c r="H142" s="155">
        <f t="shared" si="11"/>
        <v>48</v>
      </c>
    </row>
    <row r="143" spans="2:8" s="152" customFormat="1" ht="11.25" customHeight="1" x14ac:dyDescent="0.2">
      <c r="B143" s="176" t="s">
        <v>1710</v>
      </c>
      <c r="C143" s="156"/>
      <c r="D143" s="155">
        <f t="shared" si="8"/>
        <v>1.2538271604938271E-2</v>
      </c>
      <c r="E143" s="155"/>
      <c r="F143" s="181">
        <v>600</v>
      </c>
      <c r="G143" s="155">
        <f t="shared" si="10"/>
        <v>1.2538271604938271E-2</v>
      </c>
      <c r="H143" s="155">
        <f t="shared" si="11"/>
        <v>7.5229629629629633</v>
      </c>
    </row>
    <row r="144" spans="2:8" s="152" customFormat="1" ht="11.25" customHeight="1" x14ac:dyDescent="0.2">
      <c r="B144" s="176" t="s">
        <v>1712</v>
      </c>
      <c r="C144" s="156"/>
      <c r="D144" s="155">
        <f t="shared" si="8"/>
        <v>2.5856000000000001E-2</v>
      </c>
      <c r="E144" s="155"/>
      <c r="F144" s="181">
        <v>300</v>
      </c>
      <c r="G144" s="155">
        <f t="shared" si="10"/>
        <v>2.5856000000000001E-2</v>
      </c>
      <c r="H144" s="155">
        <f t="shared" si="11"/>
        <v>7.7568000000000001</v>
      </c>
    </row>
    <row r="145" spans="2:8" s="152" customFormat="1" ht="11.25" customHeight="1" x14ac:dyDescent="0.2">
      <c r="B145" s="176" t="s">
        <v>1734</v>
      </c>
      <c r="C145" s="156"/>
      <c r="D145" s="155">
        <f t="shared" si="8"/>
        <v>6.1285714285714284E-2</v>
      </c>
      <c r="E145" s="155"/>
      <c r="F145" s="181">
        <v>700</v>
      </c>
      <c r="G145" s="155">
        <f t="shared" si="10"/>
        <v>6.1285714285714284E-2</v>
      </c>
      <c r="H145" s="155">
        <f t="shared" si="11"/>
        <v>42.9</v>
      </c>
    </row>
    <row r="146" spans="2:8" s="152" customFormat="1" ht="11.25" customHeight="1" x14ac:dyDescent="0.2">
      <c r="B146" s="176" t="s">
        <v>1681</v>
      </c>
      <c r="C146" s="156"/>
      <c r="D146" s="155">
        <f t="shared" si="8"/>
        <v>7.2</v>
      </c>
      <c r="E146" s="155"/>
      <c r="F146" s="181">
        <v>2</v>
      </c>
      <c r="G146" s="155">
        <f t="shared" si="10"/>
        <v>7.2</v>
      </c>
      <c r="H146" s="155">
        <f t="shared" si="11"/>
        <v>14.4</v>
      </c>
    </row>
    <row r="147" spans="2:8" s="152" customFormat="1" ht="11.25" customHeight="1" x14ac:dyDescent="0.2">
      <c r="B147" s="176"/>
      <c r="C147" s="156"/>
      <c r="D147" s="155" t="str">
        <f t="shared" si="8"/>
        <v/>
      </c>
      <c r="E147" s="155"/>
      <c r="F147" s="181"/>
      <c r="G147" s="155" t="str">
        <f t="shared" si="10"/>
        <v/>
      </c>
      <c r="H147" s="155" t="str">
        <f t="shared" si="11"/>
        <v/>
      </c>
    </row>
    <row r="148" spans="2:8" s="152" customFormat="1" ht="11.25" customHeight="1" x14ac:dyDescent="0.2">
      <c r="B148" s="176"/>
      <c r="C148" s="156"/>
      <c r="D148" s="155" t="str">
        <f t="shared" si="8"/>
        <v/>
      </c>
      <c r="E148" s="155"/>
      <c r="F148" s="181"/>
      <c r="G148" s="155" t="str">
        <f t="shared" si="10"/>
        <v/>
      </c>
      <c r="H148" s="155" t="str">
        <f t="shared" si="11"/>
        <v/>
      </c>
    </row>
    <row r="149" spans="2:8" ht="11.25" customHeight="1" x14ac:dyDescent="0.2">
      <c r="B149" s="176"/>
      <c r="C149" s="156"/>
      <c r="D149" s="155" t="str">
        <f t="shared" si="8"/>
        <v/>
      </c>
      <c r="E149" s="155"/>
      <c r="F149" s="181"/>
      <c r="G149" s="155" t="str">
        <f t="shared" si="10"/>
        <v/>
      </c>
      <c r="H149" s="155" t="str">
        <f t="shared" si="11"/>
        <v/>
      </c>
    </row>
    <row r="150" spans="2:8" ht="11.25" customHeight="1" x14ac:dyDescent="0.2">
      <c r="B150" s="176"/>
      <c r="C150" s="156"/>
      <c r="D150" s="155" t="str">
        <f t="shared" si="8"/>
        <v/>
      </c>
      <c r="E150" s="155"/>
      <c r="F150" s="181"/>
      <c r="G150" s="155" t="str">
        <f t="shared" si="10"/>
        <v/>
      </c>
      <c r="H150" s="155" t="str">
        <f t="shared" si="11"/>
        <v/>
      </c>
    </row>
    <row r="151" spans="2:8" ht="11.25" customHeight="1" x14ac:dyDescent="0.2">
      <c r="B151" s="176"/>
      <c r="C151" s="156"/>
      <c r="D151" s="155" t="str">
        <f t="shared" si="8"/>
        <v/>
      </c>
      <c r="E151" s="155"/>
      <c r="F151" s="181"/>
      <c r="G151" s="155" t="str">
        <f t="shared" si="10"/>
        <v/>
      </c>
      <c r="H151" s="155" t="str">
        <f t="shared" si="11"/>
        <v/>
      </c>
    </row>
    <row r="152" spans="2:8" ht="11.25" customHeight="1" x14ac:dyDescent="0.2">
      <c r="B152" s="176"/>
      <c r="C152" s="156"/>
      <c r="D152" s="155" t="str">
        <f t="shared" si="8"/>
        <v/>
      </c>
      <c r="E152" s="155"/>
      <c r="F152" s="181"/>
      <c r="G152" s="155" t="str">
        <f t="shared" si="10"/>
        <v/>
      </c>
      <c r="H152" s="155" t="str">
        <f t="shared" si="11"/>
        <v/>
      </c>
    </row>
    <row r="153" spans="2:8" ht="11.25" customHeight="1" x14ac:dyDescent="0.2">
      <c r="B153" s="176"/>
      <c r="C153" s="156"/>
      <c r="D153" s="155" t="str">
        <f t="shared" si="8"/>
        <v/>
      </c>
      <c r="E153" s="155" t="str">
        <f t="shared" si="9"/>
        <v/>
      </c>
      <c r="F153" s="181"/>
      <c r="G153" s="155" t="str">
        <f t="shared" si="10"/>
        <v/>
      </c>
      <c r="H153" s="155" t="str">
        <f t="shared" si="11"/>
        <v/>
      </c>
    </row>
    <row r="154" spans="2:8" ht="11.25" customHeight="1" x14ac:dyDescent="0.2">
      <c r="B154" s="176"/>
      <c r="C154" s="156"/>
      <c r="D154" s="155" t="str">
        <f t="shared" si="8"/>
        <v/>
      </c>
      <c r="E154" s="155" t="str">
        <f t="shared" si="9"/>
        <v/>
      </c>
      <c r="F154" s="181"/>
      <c r="G154" s="155" t="str">
        <f t="shared" si="10"/>
        <v/>
      </c>
      <c r="H154" s="155" t="str">
        <f t="shared" si="11"/>
        <v/>
      </c>
    </row>
    <row r="155" spans="2:8" ht="11.25" customHeight="1" x14ac:dyDescent="0.2">
      <c r="B155" s="176"/>
      <c r="C155" s="156"/>
      <c r="D155" s="155" t="str">
        <f t="shared" si="8"/>
        <v/>
      </c>
      <c r="E155" s="155" t="str">
        <f t="shared" si="9"/>
        <v/>
      </c>
      <c r="F155" s="181"/>
      <c r="G155" s="155" t="str">
        <f t="shared" si="10"/>
        <v/>
      </c>
      <c r="H155" s="155" t="str">
        <f t="shared" si="11"/>
        <v/>
      </c>
    </row>
    <row r="156" spans="2:8" ht="11.25" customHeight="1" x14ac:dyDescent="0.2">
      <c r="B156" s="176"/>
      <c r="C156" s="156"/>
      <c r="D156" s="155" t="str">
        <f t="shared" si="8"/>
        <v/>
      </c>
      <c r="E156" s="155" t="str">
        <f t="shared" si="9"/>
        <v/>
      </c>
      <c r="F156" s="181"/>
      <c r="G156" s="155" t="str">
        <f t="shared" si="10"/>
        <v/>
      </c>
      <c r="H156" s="155" t="str">
        <f t="shared" si="11"/>
        <v/>
      </c>
    </row>
    <row r="157" spans="2:8" ht="11.25" customHeight="1" x14ac:dyDescent="0.2">
      <c r="B157" s="176"/>
      <c r="C157" s="156"/>
      <c r="D157" s="155" t="str">
        <f t="shared" si="8"/>
        <v/>
      </c>
      <c r="E157" s="155" t="str">
        <f t="shared" si="9"/>
        <v/>
      </c>
      <c r="F157" s="181"/>
      <c r="G157" s="155" t="str">
        <f t="shared" si="10"/>
        <v/>
      </c>
      <c r="H157" s="155" t="str">
        <f t="shared" si="11"/>
        <v/>
      </c>
    </row>
    <row r="158" spans="2:8" ht="11.25" customHeight="1" x14ac:dyDescent="0.2">
      <c r="B158" s="176"/>
      <c r="C158" s="156"/>
      <c r="D158" s="155" t="str">
        <f t="shared" si="8"/>
        <v/>
      </c>
      <c r="E158" s="155" t="str">
        <f t="shared" si="9"/>
        <v/>
      </c>
      <c r="F158" s="181"/>
      <c r="G158" s="155" t="str">
        <f t="shared" si="10"/>
        <v/>
      </c>
      <c r="H158" s="155" t="str">
        <f t="shared" si="11"/>
        <v/>
      </c>
    </row>
    <row r="159" spans="2:8" ht="11.25" customHeight="1" x14ac:dyDescent="0.2">
      <c r="B159" s="176"/>
      <c r="C159" s="156"/>
      <c r="D159" s="155" t="str">
        <f t="shared" si="8"/>
        <v/>
      </c>
      <c r="E159" s="155" t="str">
        <f t="shared" si="9"/>
        <v/>
      </c>
      <c r="F159" s="181"/>
      <c r="G159" s="155" t="str">
        <f t="shared" si="10"/>
        <v/>
      </c>
      <c r="H159" s="155" t="str">
        <f t="shared" si="11"/>
        <v/>
      </c>
    </row>
    <row r="160" spans="2:8" ht="11.25" customHeight="1" x14ac:dyDescent="0.2">
      <c r="B160" s="176"/>
      <c r="C160" s="156"/>
      <c r="D160" s="155" t="str">
        <f t="shared" si="8"/>
        <v/>
      </c>
      <c r="E160" s="155" t="str">
        <f t="shared" si="9"/>
        <v/>
      </c>
      <c r="F160" s="181"/>
      <c r="G160" s="155" t="str">
        <f t="shared" si="10"/>
        <v/>
      </c>
      <c r="H160" s="155" t="str">
        <f t="shared" si="11"/>
        <v/>
      </c>
    </row>
    <row r="161" spans="1:8" ht="11.25" customHeight="1" x14ac:dyDescent="0.2">
      <c r="B161" s="176"/>
      <c r="C161" s="156"/>
      <c r="D161" s="155" t="str">
        <f t="shared" si="8"/>
        <v/>
      </c>
      <c r="E161" s="155" t="str">
        <f t="shared" si="9"/>
        <v/>
      </c>
      <c r="F161" s="181"/>
      <c r="G161" s="155" t="str">
        <f t="shared" si="10"/>
        <v/>
      </c>
      <c r="H161" s="155" t="str">
        <f t="shared" si="11"/>
        <v/>
      </c>
    </row>
    <row r="162" spans="1:8" ht="11.25" customHeight="1" x14ac:dyDescent="0.2">
      <c r="B162" s="194"/>
      <c r="C162" s="320"/>
      <c r="D162" s="155" t="str">
        <f t="shared" si="8"/>
        <v/>
      </c>
      <c r="E162" s="310"/>
      <c r="F162" s="308"/>
      <c r="G162" s="155" t="str">
        <f t="shared" si="10"/>
        <v/>
      </c>
      <c r="H162" s="155"/>
    </row>
    <row r="163" spans="1:8" ht="12" customHeight="1" thickBot="1" x14ac:dyDescent="0.25">
      <c r="B163" s="284"/>
      <c r="C163" s="285"/>
      <c r="D163" s="155" t="str">
        <f t="shared" si="8"/>
        <v/>
      </c>
      <c r="E163" s="309" t="str">
        <f t="shared" si="9"/>
        <v/>
      </c>
      <c r="F163" s="286"/>
      <c r="G163" s="155" t="str">
        <f t="shared" si="10"/>
        <v/>
      </c>
      <c r="H163" s="155" t="str">
        <f t="shared" si="11"/>
        <v/>
      </c>
    </row>
    <row r="164" spans="1:8" ht="12.75" customHeight="1" thickBot="1" x14ac:dyDescent="0.25">
      <c r="A164" s="159"/>
      <c r="B164" s="287" t="s">
        <v>831</v>
      </c>
      <c r="C164" s="288"/>
      <c r="D164" s="311"/>
      <c r="E164" s="292">
        <f>SUM(E125:E163)</f>
        <v>7941.18</v>
      </c>
      <c r="F164" s="287" t="s">
        <v>831</v>
      </c>
      <c r="G164" s="288"/>
      <c r="H164" s="292">
        <f>SUM(H124:H163)</f>
        <v>1510.9560962962967</v>
      </c>
    </row>
    <row r="165" spans="1:8" ht="12.75" customHeight="1" thickBot="1" x14ac:dyDescent="0.25">
      <c r="A165" s="159"/>
      <c r="B165" s="287" t="s">
        <v>832</v>
      </c>
      <c r="C165" s="288"/>
      <c r="D165" s="288"/>
      <c r="E165" s="321">
        <f>E164*10/100</f>
        <v>794.11800000000005</v>
      </c>
      <c r="F165" s="312" t="s">
        <v>832</v>
      </c>
      <c r="G165" s="295"/>
      <c r="H165" s="292">
        <f>H164*10/100</f>
        <v>151.09560962962968</v>
      </c>
    </row>
    <row r="166" spans="1:8" ht="12.75" customHeight="1" thickBot="1" x14ac:dyDescent="0.25">
      <c r="A166" s="159"/>
      <c r="B166" s="287" t="s">
        <v>24</v>
      </c>
      <c r="C166" s="288"/>
      <c r="D166" s="288"/>
      <c r="E166" s="155">
        <f>E164+E165</f>
        <v>8735.2980000000007</v>
      </c>
      <c r="F166" s="287" t="s">
        <v>24</v>
      </c>
      <c r="G166" s="295"/>
      <c r="H166" s="292">
        <f>H164+H165</f>
        <v>1662.0517059259264</v>
      </c>
    </row>
    <row r="167" spans="1:8" ht="12.75" customHeight="1" thickBot="1" x14ac:dyDescent="0.25">
      <c r="B167" s="291" t="s">
        <v>10</v>
      </c>
      <c r="C167" s="288"/>
      <c r="D167" s="288"/>
      <c r="E167" s="322">
        <v>105</v>
      </c>
      <c r="F167" s="287" t="s">
        <v>10</v>
      </c>
      <c r="G167" s="288"/>
      <c r="H167" s="297">
        <v>93</v>
      </c>
    </row>
    <row r="168" spans="1:8" ht="12.75" customHeight="1" thickBot="1" x14ac:dyDescent="0.25">
      <c r="B168" s="298" t="s">
        <v>1261</v>
      </c>
      <c r="C168" s="288"/>
      <c r="D168" s="288"/>
      <c r="E168" s="323">
        <f>E166/E167</f>
        <v>83.193314285714294</v>
      </c>
      <c r="F168" s="287" t="s">
        <v>1261</v>
      </c>
      <c r="G168" s="288"/>
      <c r="H168" s="292">
        <f>H166/H167</f>
        <v>17.871523719633618</v>
      </c>
    </row>
    <row r="169" spans="1:8" ht="12" customHeight="1" thickBot="1" x14ac:dyDescent="0.25">
      <c r="B169" s="283" t="s">
        <v>48</v>
      </c>
      <c r="C169" s="315" t="s">
        <v>1722</v>
      </c>
      <c r="D169" s="316"/>
      <c r="E169" s="316"/>
      <c r="F169" s="316"/>
      <c r="G169" s="316"/>
      <c r="H169" s="318"/>
    </row>
    <row r="170" spans="1:8" ht="12" customHeight="1" thickBot="1" x14ac:dyDescent="0.25">
      <c r="B170" s="283" t="s">
        <v>15</v>
      </c>
      <c r="C170" s="302" t="s">
        <v>1714</v>
      </c>
      <c r="D170" s="303"/>
      <c r="E170" s="303"/>
      <c r="F170" s="303"/>
      <c r="G170" s="303"/>
      <c r="H170" s="304"/>
    </row>
    <row r="171" spans="1:8" ht="12" customHeight="1" thickBot="1" x14ac:dyDescent="0.25">
      <c r="B171" s="283" t="s">
        <v>16</v>
      </c>
      <c r="C171" s="302" t="s">
        <v>1715</v>
      </c>
      <c r="D171" s="303"/>
      <c r="E171" s="303"/>
      <c r="F171" s="303"/>
      <c r="G171" s="303"/>
      <c r="H171" s="304"/>
    </row>
    <row r="172" spans="1:8" ht="12" customHeight="1" thickBot="1" x14ac:dyDescent="0.25">
      <c r="B172" s="283" t="s">
        <v>17</v>
      </c>
      <c r="C172" s="302" t="s">
        <v>1716</v>
      </c>
      <c r="D172" s="303"/>
      <c r="E172" s="303"/>
      <c r="F172" s="303"/>
      <c r="G172" s="303"/>
      <c r="H172" s="304"/>
    </row>
    <row r="173" spans="1:8" ht="12" customHeight="1" thickBot="1" x14ac:dyDescent="0.25">
      <c r="B173" s="283" t="s">
        <v>18</v>
      </c>
      <c r="C173" s="302" t="s">
        <v>1717</v>
      </c>
      <c r="D173" s="303"/>
      <c r="E173" s="303"/>
      <c r="F173" s="303"/>
      <c r="G173" s="303"/>
      <c r="H173" s="304"/>
    </row>
    <row r="174" spans="1:8" ht="12" customHeight="1" thickBot="1" x14ac:dyDescent="0.25">
      <c r="B174" s="283" t="s">
        <v>49</v>
      </c>
      <c r="C174" s="302" t="s">
        <v>1718</v>
      </c>
      <c r="D174" s="303"/>
      <c r="E174" s="303"/>
      <c r="F174" s="303"/>
      <c r="G174" s="303"/>
      <c r="H174" s="304"/>
    </row>
    <row r="175" spans="1:8" ht="12" customHeight="1" thickBot="1" x14ac:dyDescent="0.25">
      <c r="B175" s="283" t="s">
        <v>51</v>
      </c>
      <c r="C175" s="302" t="s">
        <v>1719</v>
      </c>
      <c r="D175" s="303"/>
      <c r="E175" s="303"/>
      <c r="F175" s="303"/>
      <c r="G175" s="303"/>
      <c r="H175" s="304"/>
    </row>
    <row r="176" spans="1:8" ht="12" customHeight="1" thickBot="1" x14ac:dyDescent="0.25">
      <c r="B176" s="283" t="s">
        <v>47</v>
      </c>
      <c r="C176" s="302" t="s">
        <v>1720</v>
      </c>
      <c r="D176" s="303"/>
      <c r="E176" s="303"/>
      <c r="F176" s="303"/>
      <c r="G176" s="303"/>
      <c r="H176" s="304"/>
    </row>
    <row r="177" spans="2:8" ht="12" customHeight="1" thickBot="1" x14ac:dyDescent="0.25">
      <c r="B177" s="283" t="s">
        <v>50</v>
      </c>
      <c r="C177" s="305" t="s">
        <v>1721</v>
      </c>
      <c r="D177" s="306"/>
      <c r="E177" s="306"/>
      <c r="F177" s="306"/>
      <c r="G177" s="306"/>
      <c r="H177" s="307"/>
    </row>
    <row r="178" spans="2:8" ht="12" customHeight="1" thickBot="1" x14ac:dyDescent="0.25">
      <c r="B178" s="152"/>
      <c r="C178" s="319"/>
      <c r="D178" s="319"/>
      <c r="E178" s="319"/>
      <c r="F178" s="319"/>
      <c r="G178" s="319"/>
      <c r="H178" s="319"/>
    </row>
    <row r="179" spans="2:8" ht="21.75" customHeight="1" thickBot="1" x14ac:dyDescent="0.4">
      <c r="B179" s="277" t="s">
        <v>1893</v>
      </c>
      <c r="C179" s="278"/>
      <c r="D179" s="278"/>
      <c r="E179" s="278"/>
      <c r="F179" s="278"/>
      <c r="G179" s="278"/>
      <c r="H179" s="279"/>
    </row>
    <row r="180" spans="2:8" ht="12" customHeight="1" thickBot="1" x14ac:dyDescent="0.25">
      <c r="B180" s="280" t="s">
        <v>1891</v>
      </c>
      <c r="C180" s="281"/>
      <c r="D180" s="281"/>
      <c r="E180" s="282"/>
      <c r="F180" s="280" t="s">
        <v>1890</v>
      </c>
      <c r="G180" s="281"/>
      <c r="H180" s="282"/>
    </row>
    <row r="181" spans="2:8" ht="12" customHeight="1" thickBot="1" x14ac:dyDescent="0.25">
      <c r="B181" s="283" t="s">
        <v>1896</v>
      </c>
      <c r="C181" s="283" t="s">
        <v>20</v>
      </c>
      <c r="D181" s="283" t="s">
        <v>21</v>
      </c>
      <c r="E181" s="283" t="s">
        <v>22</v>
      </c>
      <c r="F181" s="283" t="s">
        <v>20</v>
      </c>
      <c r="G181" s="283" t="s">
        <v>21</v>
      </c>
      <c r="H181" s="283" t="s">
        <v>22</v>
      </c>
    </row>
    <row r="182" spans="2:8" s="152" customFormat="1" ht="11.25" customHeight="1" x14ac:dyDescent="0.2">
      <c r="B182" s="175" t="s">
        <v>1692</v>
      </c>
      <c r="C182" s="160">
        <v>3000</v>
      </c>
      <c r="D182" s="154">
        <f t="shared" ref="D182:D220" si="12">IF(B182="","",VLOOKUP(B182,INVENTARIO,2))</f>
        <v>0</v>
      </c>
      <c r="E182" s="154">
        <f>IF(C182=0,"",C182*D182)</f>
        <v>0</v>
      </c>
      <c r="F182" s="185">
        <v>4000</v>
      </c>
      <c r="G182" s="154">
        <f>D182</f>
        <v>0</v>
      </c>
      <c r="H182" s="155">
        <f>IF(F182=0,"",F182*G182)</f>
        <v>0</v>
      </c>
    </row>
    <row r="183" spans="2:8" s="152" customFormat="1" ht="11.25" customHeight="1" x14ac:dyDescent="0.2">
      <c r="B183" s="176" t="s">
        <v>1693</v>
      </c>
      <c r="C183" s="161">
        <v>10000</v>
      </c>
      <c r="D183" s="155">
        <f t="shared" si="12"/>
        <v>0</v>
      </c>
      <c r="E183" s="155">
        <f t="shared" ref="E183:E186" si="13">IF(C183=0,"",C183*D183)</f>
        <v>0</v>
      </c>
      <c r="F183" s="181">
        <v>3000</v>
      </c>
      <c r="G183" s="155">
        <f t="shared" ref="G183:G220" si="14">D183</f>
        <v>0</v>
      </c>
      <c r="H183" s="155">
        <f t="shared" ref="H183:H220" si="15">IF(F183=0,"",F183*G183)</f>
        <v>0</v>
      </c>
    </row>
    <row r="184" spans="2:8" s="152" customFormat="1" ht="11.25" customHeight="1" x14ac:dyDescent="0.2">
      <c r="B184" s="176" t="s">
        <v>1741</v>
      </c>
      <c r="C184" s="161">
        <v>3000</v>
      </c>
      <c r="D184" s="155">
        <f t="shared" si="12"/>
        <v>2.5</v>
      </c>
      <c r="E184" s="155">
        <f t="shared" si="13"/>
        <v>7500</v>
      </c>
      <c r="F184" s="181">
        <v>8</v>
      </c>
      <c r="G184" s="155">
        <f t="shared" si="14"/>
        <v>2.5</v>
      </c>
      <c r="H184" s="155">
        <f t="shared" si="15"/>
        <v>20</v>
      </c>
    </row>
    <row r="185" spans="2:8" s="152" customFormat="1" ht="11.25" customHeight="1" x14ac:dyDescent="0.2">
      <c r="B185" s="176" t="s">
        <v>1742</v>
      </c>
      <c r="C185" s="161">
        <v>300</v>
      </c>
      <c r="D185" s="155">
        <f t="shared" si="12"/>
        <v>0.01</v>
      </c>
      <c r="E185" s="155">
        <f t="shared" si="13"/>
        <v>3</v>
      </c>
      <c r="F185" s="181">
        <v>250</v>
      </c>
      <c r="G185" s="155">
        <f t="shared" si="14"/>
        <v>0.01</v>
      </c>
      <c r="H185" s="155">
        <f t="shared" si="15"/>
        <v>2.5</v>
      </c>
    </row>
    <row r="186" spans="2:8" s="152" customFormat="1" ht="11.25" customHeight="1" x14ac:dyDescent="0.2">
      <c r="B186" s="176" t="s">
        <v>1743</v>
      </c>
      <c r="C186" s="161">
        <v>5000</v>
      </c>
      <c r="D186" s="155">
        <f t="shared" si="12"/>
        <v>0.01</v>
      </c>
      <c r="E186" s="155">
        <f t="shared" si="13"/>
        <v>50</v>
      </c>
      <c r="F186" s="181">
        <v>250</v>
      </c>
      <c r="G186" s="155">
        <f t="shared" si="14"/>
        <v>0.01</v>
      </c>
      <c r="H186" s="155">
        <f t="shared" si="15"/>
        <v>2.5</v>
      </c>
    </row>
    <row r="187" spans="2:8" s="152" customFormat="1" ht="11.25" customHeight="1" x14ac:dyDescent="0.2">
      <c r="B187" s="176" t="s">
        <v>1703</v>
      </c>
      <c r="C187" s="161"/>
      <c r="D187" s="155">
        <f t="shared" si="12"/>
        <v>6.0000000000000001E-3</v>
      </c>
      <c r="E187" s="155"/>
      <c r="F187" s="181">
        <v>1000</v>
      </c>
      <c r="G187" s="155">
        <f t="shared" si="14"/>
        <v>6.0000000000000001E-3</v>
      </c>
      <c r="H187" s="155">
        <f t="shared" si="15"/>
        <v>6</v>
      </c>
    </row>
    <row r="188" spans="2:8" s="152" customFormat="1" ht="11.25" customHeight="1" x14ac:dyDescent="0.2">
      <c r="B188" s="176" t="s">
        <v>1744</v>
      </c>
      <c r="C188" s="161"/>
      <c r="D188" s="155">
        <f t="shared" si="12"/>
        <v>1.325E-2</v>
      </c>
      <c r="E188" s="155"/>
      <c r="F188" s="181">
        <v>3000</v>
      </c>
      <c r="G188" s="155">
        <f t="shared" si="14"/>
        <v>1.325E-2</v>
      </c>
      <c r="H188" s="155">
        <f t="shared" si="15"/>
        <v>39.75</v>
      </c>
    </row>
    <row r="189" spans="2:8" s="152" customFormat="1" ht="11.25" customHeight="1" x14ac:dyDescent="0.2">
      <c r="B189" s="176" t="s">
        <v>1694</v>
      </c>
      <c r="C189" s="161"/>
      <c r="D189" s="155">
        <f t="shared" si="12"/>
        <v>1.4999999999999999E-2</v>
      </c>
      <c r="E189" s="155"/>
      <c r="F189" s="181">
        <v>2000</v>
      </c>
      <c r="G189" s="155">
        <f t="shared" si="14"/>
        <v>1.4999999999999999E-2</v>
      </c>
      <c r="H189" s="155">
        <f t="shared" si="15"/>
        <v>30</v>
      </c>
    </row>
    <row r="190" spans="2:8" s="152" customFormat="1" ht="11.25" customHeight="1" x14ac:dyDescent="0.2">
      <c r="B190" s="176" t="s">
        <v>1702</v>
      </c>
      <c r="C190" s="161"/>
      <c r="D190" s="155">
        <f t="shared" si="12"/>
        <v>1.4999999999999999E-2</v>
      </c>
      <c r="E190" s="155"/>
      <c r="F190" s="181">
        <v>2000</v>
      </c>
      <c r="G190" s="155">
        <f t="shared" si="14"/>
        <v>1.4999999999999999E-2</v>
      </c>
      <c r="H190" s="155">
        <f t="shared" si="15"/>
        <v>30</v>
      </c>
    </row>
    <row r="191" spans="2:8" s="152" customFormat="1" ht="11.25" customHeight="1" x14ac:dyDescent="0.2">
      <c r="B191" s="176" t="s">
        <v>1745</v>
      </c>
      <c r="C191" s="161"/>
      <c r="D191" s="155">
        <f t="shared" si="12"/>
        <v>0.01</v>
      </c>
      <c r="E191" s="155"/>
      <c r="F191" s="181">
        <v>3000</v>
      </c>
      <c r="G191" s="155">
        <f t="shared" si="14"/>
        <v>0.01</v>
      </c>
      <c r="H191" s="155">
        <f t="shared" si="15"/>
        <v>30</v>
      </c>
    </row>
    <row r="192" spans="2:8" s="152" customFormat="1" x14ac:dyDescent="0.2">
      <c r="B192" s="176" t="s">
        <v>1746</v>
      </c>
      <c r="C192" s="161"/>
      <c r="D192" s="155">
        <f t="shared" si="12"/>
        <v>8.0000000000000002E-3</v>
      </c>
      <c r="E192" s="155"/>
      <c r="F192" s="181">
        <v>3000</v>
      </c>
      <c r="G192" s="155">
        <f t="shared" si="14"/>
        <v>8.0000000000000002E-3</v>
      </c>
      <c r="H192" s="155">
        <f t="shared" si="15"/>
        <v>24</v>
      </c>
    </row>
    <row r="193" spans="2:8" s="152" customFormat="1" ht="11.25" customHeight="1" x14ac:dyDescent="0.2">
      <c r="B193" s="176" t="s">
        <v>1701</v>
      </c>
      <c r="C193" s="161"/>
      <c r="D193" s="155">
        <f t="shared" si="12"/>
        <v>0.125</v>
      </c>
      <c r="E193" s="155"/>
      <c r="F193" s="181">
        <v>500</v>
      </c>
      <c r="G193" s="155">
        <f t="shared" si="14"/>
        <v>0.125</v>
      </c>
      <c r="H193" s="155">
        <f t="shared" si="15"/>
        <v>62.5</v>
      </c>
    </row>
    <row r="194" spans="2:8" s="152" customFormat="1" ht="11.25" customHeight="1" x14ac:dyDescent="0.2">
      <c r="B194" s="176" t="s">
        <v>1747</v>
      </c>
      <c r="C194" s="161"/>
      <c r="D194" s="155">
        <f t="shared" si="12"/>
        <v>1.4999999999999999E-2</v>
      </c>
      <c r="E194" s="155"/>
      <c r="F194" s="181">
        <v>250</v>
      </c>
      <c r="G194" s="155">
        <f t="shared" si="14"/>
        <v>1.4999999999999999E-2</v>
      </c>
      <c r="H194" s="155">
        <f t="shared" si="15"/>
        <v>3.75</v>
      </c>
    </row>
    <row r="195" spans="2:8" s="152" customFormat="1" ht="11.25" customHeight="1" x14ac:dyDescent="0.2">
      <c r="B195" s="176" t="s">
        <v>1748</v>
      </c>
      <c r="C195" s="156"/>
      <c r="D195" s="155">
        <f t="shared" si="12"/>
        <v>0.01</v>
      </c>
      <c r="E195" s="155"/>
      <c r="F195" s="181">
        <v>250</v>
      </c>
      <c r="G195" s="155">
        <f t="shared" si="14"/>
        <v>0.01</v>
      </c>
      <c r="H195" s="155">
        <f t="shared" si="15"/>
        <v>2.5</v>
      </c>
    </row>
    <row r="196" spans="2:8" s="152" customFormat="1" ht="11.25" customHeight="1" x14ac:dyDescent="0.2">
      <c r="B196" s="176" t="s">
        <v>1706</v>
      </c>
      <c r="C196" s="156"/>
      <c r="D196" s="155">
        <f t="shared" si="12"/>
        <v>1.4999999999999999E-2</v>
      </c>
      <c r="E196" s="155"/>
      <c r="F196" s="181">
        <v>250</v>
      </c>
      <c r="G196" s="155">
        <f t="shared" si="14"/>
        <v>1.4999999999999999E-2</v>
      </c>
      <c r="H196" s="155">
        <f t="shared" si="15"/>
        <v>3.75</v>
      </c>
    </row>
    <row r="197" spans="2:8" s="152" customFormat="1" ht="11.25" customHeight="1" x14ac:dyDescent="0.2">
      <c r="B197" s="176" t="s">
        <v>1749</v>
      </c>
      <c r="C197" s="156"/>
      <c r="D197" s="155">
        <f t="shared" si="12"/>
        <v>1.4999999999999999E-2</v>
      </c>
      <c r="E197" s="155"/>
      <c r="F197" s="181">
        <v>250</v>
      </c>
      <c r="G197" s="155">
        <f t="shared" si="14"/>
        <v>1.4999999999999999E-2</v>
      </c>
      <c r="H197" s="155">
        <f t="shared" si="15"/>
        <v>3.75</v>
      </c>
    </row>
    <row r="198" spans="2:8" s="152" customFormat="1" ht="11.25" customHeight="1" x14ac:dyDescent="0.2">
      <c r="B198" s="176" t="s">
        <v>1750</v>
      </c>
      <c r="C198" s="156"/>
      <c r="D198" s="155">
        <f t="shared" si="12"/>
        <v>1.4999999999999999E-2</v>
      </c>
      <c r="E198" s="155"/>
      <c r="F198" s="181">
        <v>250</v>
      </c>
      <c r="G198" s="155">
        <f t="shared" si="14"/>
        <v>1.4999999999999999E-2</v>
      </c>
      <c r="H198" s="155">
        <f t="shared" si="15"/>
        <v>3.75</v>
      </c>
    </row>
    <row r="199" spans="2:8" s="152" customFormat="1" ht="11.25" customHeight="1" x14ac:dyDescent="0.2">
      <c r="B199" s="176" t="s">
        <v>1698</v>
      </c>
      <c r="C199" s="156"/>
      <c r="D199" s="155">
        <f t="shared" si="12"/>
        <v>1.4E-2</v>
      </c>
      <c r="E199" s="155"/>
      <c r="F199" s="181">
        <v>250</v>
      </c>
      <c r="G199" s="155">
        <f t="shared" si="14"/>
        <v>1.4E-2</v>
      </c>
      <c r="H199" s="155">
        <f t="shared" si="15"/>
        <v>3.5</v>
      </c>
    </row>
    <row r="200" spans="2:8" ht="11.25" customHeight="1" x14ac:dyDescent="0.2">
      <c r="B200" s="176" t="s">
        <v>1704</v>
      </c>
      <c r="C200" s="156"/>
      <c r="D200" s="155">
        <f t="shared" si="12"/>
        <v>8.0000000000000002E-3</v>
      </c>
      <c r="E200" s="155"/>
      <c r="F200" s="181">
        <v>250</v>
      </c>
      <c r="G200" s="155">
        <f t="shared" si="14"/>
        <v>8.0000000000000002E-3</v>
      </c>
      <c r="H200" s="155">
        <f t="shared" si="15"/>
        <v>2</v>
      </c>
    </row>
    <row r="201" spans="2:8" ht="11.25" customHeight="1" x14ac:dyDescent="0.2">
      <c r="B201" s="176"/>
      <c r="C201" s="156"/>
      <c r="D201" s="155" t="str">
        <f t="shared" si="12"/>
        <v/>
      </c>
      <c r="E201" s="155"/>
      <c r="F201" s="181"/>
      <c r="G201" s="155" t="str">
        <f t="shared" si="14"/>
        <v/>
      </c>
      <c r="H201" s="155" t="str">
        <f t="shared" si="15"/>
        <v/>
      </c>
    </row>
    <row r="202" spans="2:8" ht="11.25" customHeight="1" x14ac:dyDescent="0.2">
      <c r="B202" s="176"/>
      <c r="C202" s="156"/>
      <c r="D202" s="155" t="str">
        <f t="shared" si="12"/>
        <v/>
      </c>
      <c r="E202" s="155" t="str">
        <f t="shared" ref="E202:E220" si="16">IF(C202=0,"",C202*D202)</f>
        <v/>
      </c>
      <c r="F202" s="181"/>
      <c r="G202" s="155" t="str">
        <f t="shared" si="14"/>
        <v/>
      </c>
      <c r="H202" s="155" t="str">
        <f t="shared" si="15"/>
        <v/>
      </c>
    </row>
    <row r="203" spans="2:8" ht="11.25" customHeight="1" x14ac:dyDescent="0.2">
      <c r="B203" s="176"/>
      <c r="C203" s="156"/>
      <c r="D203" s="155" t="str">
        <f t="shared" si="12"/>
        <v/>
      </c>
      <c r="E203" s="155" t="str">
        <f t="shared" si="16"/>
        <v/>
      </c>
      <c r="F203" s="181"/>
      <c r="G203" s="155" t="str">
        <f t="shared" si="14"/>
        <v/>
      </c>
      <c r="H203" s="155" t="str">
        <f t="shared" si="15"/>
        <v/>
      </c>
    </row>
    <row r="204" spans="2:8" ht="11.25" customHeight="1" x14ac:dyDescent="0.2">
      <c r="B204" s="176"/>
      <c r="C204" s="156"/>
      <c r="D204" s="155" t="str">
        <f t="shared" si="12"/>
        <v/>
      </c>
      <c r="E204" s="155" t="str">
        <f t="shared" si="16"/>
        <v/>
      </c>
      <c r="F204" s="181"/>
      <c r="G204" s="155" t="str">
        <f t="shared" si="14"/>
        <v/>
      </c>
      <c r="H204" s="155" t="str">
        <f t="shared" si="15"/>
        <v/>
      </c>
    </row>
    <row r="205" spans="2:8" ht="11.25" customHeight="1" x14ac:dyDescent="0.2">
      <c r="B205" s="176"/>
      <c r="C205" s="156"/>
      <c r="D205" s="155" t="str">
        <f t="shared" si="12"/>
        <v/>
      </c>
      <c r="E205" s="155" t="str">
        <f t="shared" si="16"/>
        <v/>
      </c>
      <c r="F205" s="181"/>
      <c r="G205" s="155" t="str">
        <f t="shared" si="14"/>
        <v/>
      </c>
      <c r="H205" s="155" t="str">
        <f t="shared" si="15"/>
        <v/>
      </c>
    </row>
    <row r="206" spans="2:8" ht="11.25" customHeight="1" x14ac:dyDescent="0.2">
      <c r="B206" s="176"/>
      <c r="C206" s="156"/>
      <c r="D206" s="155" t="str">
        <f t="shared" si="12"/>
        <v/>
      </c>
      <c r="E206" s="155" t="str">
        <f t="shared" si="16"/>
        <v/>
      </c>
      <c r="F206" s="181"/>
      <c r="G206" s="155" t="str">
        <f t="shared" si="14"/>
        <v/>
      </c>
      <c r="H206" s="155" t="str">
        <f t="shared" si="15"/>
        <v/>
      </c>
    </row>
    <row r="207" spans="2:8" ht="11.25" customHeight="1" x14ac:dyDescent="0.2">
      <c r="B207" s="176"/>
      <c r="C207" s="156"/>
      <c r="D207" s="155" t="str">
        <f t="shared" si="12"/>
        <v/>
      </c>
      <c r="E207" s="155" t="str">
        <f t="shared" si="16"/>
        <v/>
      </c>
      <c r="F207" s="181"/>
      <c r="G207" s="155" t="str">
        <f t="shared" si="14"/>
        <v/>
      </c>
      <c r="H207" s="155" t="str">
        <f t="shared" si="15"/>
        <v/>
      </c>
    </row>
    <row r="208" spans="2:8" ht="11.25" customHeight="1" x14ac:dyDescent="0.2">
      <c r="B208" s="176"/>
      <c r="C208" s="156"/>
      <c r="D208" s="155" t="str">
        <f t="shared" si="12"/>
        <v/>
      </c>
      <c r="E208" s="155" t="str">
        <f t="shared" si="16"/>
        <v/>
      </c>
      <c r="F208" s="181"/>
      <c r="G208" s="155" t="str">
        <f t="shared" si="14"/>
        <v/>
      </c>
      <c r="H208" s="155" t="str">
        <f t="shared" si="15"/>
        <v/>
      </c>
    </row>
    <row r="209" spans="1:8" ht="11.25" customHeight="1" x14ac:dyDescent="0.2">
      <c r="B209" s="176"/>
      <c r="C209" s="156"/>
      <c r="D209" s="155" t="str">
        <f t="shared" si="12"/>
        <v/>
      </c>
      <c r="E209" s="155" t="str">
        <f t="shared" si="16"/>
        <v/>
      </c>
      <c r="F209" s="181"/>
      <c r="G209" s="155" t="str">
        <f t="shared" si="14"/>
        <v/>
      </c>
      <c r="H209" s="155" t="str">
        <f t="shared" si="15"/>
        <v/>
      </c>
    </row>
    <row r="210" spans="1:8" ht="11.25" customHeight="1" x14ac:dyDescent="0.2">
      <c r="B210" s="176"/>
      <c r="C210" s="156"/>
      <c r="D210" s="155" t="str">
        <f t="shared" si="12"/>
        <v/>
      </c>
      <c r="E210" s="155" t="str">
        <f t="shared" si="16"/>
        <v/>
      </c>
      <c r="F210" s="181"/>
      <c r="G210" s="155" t="str">
        <f t="shared" si="14"/>
        <v/>
      </c>
      <c r="H210" s="155" t="str">
        <f t="shared" si="15"/>
        <v/>
      </c>
    </row>
    <row r="211" spans="1:8" ht="11.25" customHeight="1" x14ac:dyDescent="0.2">
      <c r="B211" s="176"/>
      <c r="C211" s="156"/>
      <c r="D211" s="155" t="str">
        <f t="shared" si="12"/>
        <v/>
      </c>
      <c r="E211" s="155" t="str">
        <f t="shared" si="16"/>
        <v/>
      </c>
      <c r="F211" s="181"/>
      <c r="G211" s="155" t="str">
        <f t="shared" si="14"/>
        <v/>
      </c>
      <c r="H211" s="155" t="str">
        <f t="shared" si="15"/>
        <v/>
      </c>
    </row>
    <row r="212" spans="1:8" ht="11.25" customHeight="1" x14ac:dyDescent="0.2">
      <c r="B212" s="176"/>
      <c r="C212" s="156"/>
      <c r="D212" s="155" t="str">
        <f t="shared" si="12"/>
        <v/>
      </c>
      <c r="E212" s="155" t="str">
        <f t="shared" si="16"/>
        <v/>
      </c>
      <c r="F212" s="181"/>
      <c r="G212" s="155" t="str">
        <f t="shared" si="14"/>
        <v/>
      </c>
      <c r="H212" s="155" t="str">
        <f t="shared" si="15"/>
        <v/>
      </c>
    </row>
    <row r="213" spans="1:8" ht="11.25" customHeight="1" x14ac:dyDescent="0.2">
      <c r="B213" s="176"/>
      <c r="C213" s="156"/>
      <c r="D213" s="155" t="str">
        <f t="shared" si="12"/>
        <v/>
      </c>
      <c r="E213" s="155" t="str">
        <f t="shared" si="16"/>
        <v/>
      </c>
      <c r="F213" s="181"/>
      <c r="G213" s="155" t="str">
        <f t="shared" si="14"/>
        <v/>
      </c>
      <c r="H213" s="155" t="str">
        <f t="shared" si="15"/>
        <v/>
      </c>
    </row>
    <row r="214" spans="1:8" ht="11.25" customHeight="1" x14ac:dyDescent="0.2">
      <c r="B214" s="176"/>
      <c r="C214" s="156"/>
      <c r="D214" s="155" t="str">
        <f t="shared" si="12"/>
        <v/>
      </c>
      <c r="E214" s="155" t="str">
        <f t="shared" si="16"/>
        <v/>
      </c>
      <c r="F214" s="181"/>
      <c r="G214" s="155" t="str">
        <f t="shared" si="14"/>
        <v/>
      </c>
      <c r="H214" s="155" t="str">
        <f t="shared" si="15"/>
        <v/>
      </c>
    </row>
    <row r="215" spans="1:8" ht="11.25" customHeight="1" x14ac:dyDescent="0.2">
      <c r="B215" s="176"/>
      <c r="C215" s="156"/>
      <c r="D215" s="155" t="str">
        <f t="shared" si="12"/>
        <v/>
      </c>
      <c r="E215" s="155" t="str">
        <f t="shared" si="16"/>
        <v/>
      </c>
      <c r="F215" s="181"/>
      <c r="G215" s="155" t="str">
        <f t="shared" si="14"/>
        <v/>
      </c>
      <c r="H215" s="155" t="str">
        <f t="shared" si="15"/>
        <v/>
      </c>
    </row>
    <row r="216" spans="1:8" ht="11.25" customHeight="1" x14ac:dyDescent="0.2">
      <c r="B216" s="176"/>
      <c r="C216" s="156"/>
      <c r="D216" s="155" t="str">
        <f t="shared" si="12"/>
        <v/>
      </c>
      <c r="E216" s="155" t="str">
        <f t="shared" si="16"/>
        <v/>
      </c>
      <c r="F216" s="181"/>
      <c r="G216" s="155" t="str">
        <f t="shared" si="14"/>
        <v/>
      </c>
      <c r="H216" s="155" t="str">
        <f t="shared" si="15"/>
        <v/>
      </c>
    </row>
    <row r="217" spans="1:8" ht="11.25" customHeight="1" x14ac:dyDescent="0.2">
      <c r="B217" s="176"/>
      <c r="C217" s="156"/>
      <c r="D217" s="155" t="str">
        <f t="shared" si="12"/>
        <v/>
      </c>
      <c r="E217" s="155" t="str">
        <f t="shared" si="16"/>
        <v/>
      </c>
      <c r="F217" s="181"/>
      <c r="G217" s="155" t="str">
        <f t="shared" si="14"/>
        <v/>
      </c>
      <c r="H217" s="155" t="str">
        <f t="shared" si="15"/>
        <v/>
      </c>
    </row>
    <row r="218" spans="1:8" ht="11.25" customHeight="1" x14ac:dyDescent="0.2">
      <c r="B218" s="176"/>
      <c r="C218" s="156"/>
      <c r="D218" s="155" t="str">
        <f t="shared" si="12"/>
        <v/>
      </c>
      <c r="E218" s="155" t="str">
        <f t="shared" si="16"/>
        <v/>
      </c>
      <c r="F218" s="181"/>
      <c r="G218" s="155" t="str">
        <f t="shared" si="14"/>
        <v/>
      </c>
      <c r="H218" s="155" t="str">
        <f t="shared" si="15"/>
        <v/>
      </c>
    </row>
    <row r="219" spans="1:8" ht="11.25" customHeight="1" x14ac:dyDescent="0.2">
      <c r="B219" s="176"/>
      <c r="C219" s="156"/>
      <c r="D219" s="155" t="str">
        <f t="shared" si="12"/>
        <v/>
      </c>
      <c r="E219" s="155" t="str">
        <f t="shared" si="16"/>
        <v/>
      </c>
      <c r="F219" s="181"/>
      <c r="G219" s="155" t="str">
        <f t="shared" si="14"/>
        <v/>
      </c>
      <c r="H219" s="155" t="str">
        <f t="shared" si="15"/>
        <v/>
      </c>
    </row>
    <row r="220" spans="1:8" ht="12" customHeight="1" thickBot="1" x14ac:dyDescent="0.25">
      <c r="B220" s="284"/>
      <c r="C220" s="285"/>
      <c r="D220" s="155" t="str">
        <f t="shared" si="12"/>
        <v/>
      </c>
      <c r="E220" s="309" t="str">
        <f t="shared" si="16"/>
        <v/>
      </c>
      <c r="F220" s="286"/>
      <c r="G220" s="155" t="str">
        <f t="shared" si="14"/>
        <v/>
      </c>
      <c r="H220" s="155" t="str">
        <f t="shared" si="15"/>
        <v/>
      </c>
    </row>
    <row r="221" spans="1:8" ht="12.75" customHeight="1" thickBot="1" x14ac:dyDescent="0.25">
      <c r="A221" s="159"/>
      <c r="B221" s="287" t="s">
        <v>831</v>
      </c>
      <c r="C221" s="288"/>
      <c r="D221" s="311"/>
      <c r="E221" s="292">
        <f>SUM(E182:E220)</f>
        <v>7553</v>
      </c>
      <c r="F221" s="287" t="s">
        <v>831</v>
      </c>
      <c r="G221" s="288"/>
      <c r="H221" s="292">
        <f>SUM(H182:H220)</f>
        <v>270.25</v>
      </c>
    </row>
    <row r="222" spans="1:8" ht="12.75" customHeight="1" thickBot="1" x14ac:dyDescent="0.25">
      <c r="A222" s="159"/>
      <c r="B222" s="287" t="s">
        <v>832</v>
      </c>
      <c r="C222" s="288"/>
      <c r="D222" s="288"/>
      <c r="E222" s="321">
        <f>E221*10/100</f>
        <v>755.3</v>
      </c>
      <c r="F222" s="312" t="s">
        <v>832</v>
      </c>
      <c r="G222" s="295"/>
      <c r="H222" s="292">
        <f>H221*10/100</f>
        <v>27.024999999999999</v>
      </c>
    </row>
    <row r="223" spans="1:8" ht="12.75" customHeight="1" thickBot="1" x14ac:dyDescent="0.25">
      <c r="A223" s="159"/>
      <c r="B223" s="287" t="s">
        <v>24</v>
      </c>
      <c r="C223" s="288"/>
      <c r="D223" s="288"/>
      <c r="E223" s="155">
        <f>E221+E222</f>
        <v>8308.2999999999993</v>
      </c>
      <c r="F223" s="287" t="s">
        <v>24</v>
      </c>
      <c r="G223" s="295"/>
      <c r="H223" s="292">
        <f>H221+H222</f>
        <v>297.27499999999998</v>
      </c>
    </row>
    <row r="224" spans="1:8" ht="12.75" customHeight="1" thickBot="1" x14ac:dyDescent="0.25">
      <c r="B224" s="291" t="s">
        <v>10</v>
      </c>
      <c r="C224" s="288"/>
      <c r="D224" s="288"/>
      <c r="E224" s="322">
        <v>45</v>
      </c>
      <c r="F224" s="287" t="s">
        <v>10</v>
      </c>
      <c r="G224" s="288"/>
      <c r="H224" s="297">
        <v>28</v>
      </c>
    </row>
    <row r="225" spans="2:8" ht="12.75" customHeight="1" thickBot="1" x14ac:dyDescent="0.25">
      <c r="B225" s="298" t="s">
        <v>1261</v>
      </c>
      <c r="C225" s="288"/>
      <c r="D225" s="288"/>
      <c r="E225" s="323">
        <f>E223/E224</f>
        <v>184.62888888888887</v>
      </c>
      <c r="F225" s="287" t="s">
        <v>1261</v>
      </c>
      <c r="G225" s="288"/>
      <c r="H225" s="292">
        <f>H223/H224</f>
        <v>10.616964285714285</v>
      </c>
    </row>
    <row r="226" spans="2:8" ht="12" customHeight="1" thickBot="1" x14ac:dyDescent="0.25">
      <c r="B226" s="283" t="s">
        <v>48</v>
      </c>
      <c r="C226" s="315" t="s">
        <v>1735</v>
      </c>
      <c r="D226" s="316"/>
      <c r="E226" s="316"/>
      <c r="F226" s="316"/>
      <c r="G226" s="316"/>
      <c r="H226" s="318"/>
    </row>
    <row r="227" spans="2:8" ht="12" customHeight="1" thickBot="1" x14ac:dyDescent="0.25">
      <c r="B227" s="283" t="s">
        <v>15</v>
      </c>
      <c r="C227" s="302" t="s">
        <v>1736</v>
      </c>
      <c r="D227" s="303"/>
      <c r="E227" s="303"/>
      <c r="F227" s="303"/>
      <c r="G227" s="303"/>
      <c r="H227" s="304"/>
    </row>
    <row r="228" spans="2:8" ht="12" customHeight="1" thickBot="1" x14ac:dyDescent="0.25">
      <c r="B228" s="283" t="s">
        <v>16</v>
      </c>
      <c r="C228" s="302" t="s">
        <v>1737</v>
      </c>
      <c r="D228" s="303"/>
      <c r="E228" s="303"/>
      <c r="F228" s="303"/>
      <c r="G228" s="303"/>
      <c r="H228" s="304"/>
    </row>
    <row r="229" spans="2:8" ht="12" customHeight="1" thickBot="1" x14ac:dyDescent="0.25">
      <c r="B229" s="283" t="s">
        <v>17</v>
      </c>
      <c r="C229" s="302" t="s">
        <v>1738</v>
      </c>
      <c r="D229" s="303"/>
      <c r="E229" s="303"/>
      <c r="F229" s="303"/>
      <c r="G229" s="303"/>
      <c r="H229" s="304"/>
    </row>
    <row r="230" spans="2:8" ht="12" customHeight="1" thickBot="1" x14ac:dyDescent="0.25">
      <c r="B230" s="283" t="s">
        <v>18</v>
      </c>
      <c r="C230" s="302" t="s">
        <v>1739</v>
      </c>
      <c r="D230" s="303"/>
      <c r="E230" s="303"/>
      <c r="F230" s="303"/>
      <c r="G230" s="303"/>
      <c r="H230" s="304"/>
    </row>
    <row r="231" spans="2:8" ht="12" customHeight="1" thickBot="1" x14ac:dyDescent="0.25">
      <c r="B231" s="283" t="s">
        <v>49</v>
      </c>
      <c r="C231" s="302" t="s">
        <v>1740</v>
      </c>
      <c r="D231" s="303"/>
      <c r="E231" s="303"/>
      <c r="F231" s="303"/>
      <c r="G231" s="303"/>
      <c r="H231" s="304"/>
    </row>
    <row r="232" spans="2:8" ht="12" customHeight="1" thickBot="1" x14ac:dyDescent="0.25">
      <c r="B232" s="283" t="s">
        <v>51</v>
      </c>
      <c r="C232" s="302"/>
      <c r="D232" s="303"/>
      <c r="E232" s="303"/>
      <c r="F232" s="303"/>
      <c r="G232" s="303"/>
      <c r="H232" s="304"/>
    </row>
    <row r="233" spans="2:8" ht="12" customHeight="1" thickBot="1" x14ac:dyDescent="0.25">
      <c r="B233" s="283" t="s">
        <v>47</v>
      </c>
      <c r="C233" s="302"/>
      <c r="D233" s="303"/>
      <c r="E233" s="303"/>
      <c r="F233" s="303"/>
      <c r="G233" s="303"/>
      <c r="H233" s="304"/>
    </row>
    <row r="234" spans="2:8" ht="12" customHeight="1" thickBot="1" x14ac:dyDescent="0.25">
      <c r="B234" s="283" t="s">
        <v>50</v>
      </c>
      <c r="C234" s="305"/>
      <c r="D234" s="306"/>
      <c r="E234" s="306"/>
      <c r="F234" s="306"/>
      <c r="G234" s="306"/>
      <c r="H234" s="307"/>
    </row>
    <row r="235" spans="2:8" ht="12" customHeight="1" thickBot="1" x14ac:dyDescent="0.25">
      <c r="B235" s="152"/>
      <c r="C235" s="319"/>
      <c r="D235" s="319"/>
      <c r="E235" s="319"/>
      <c r="F235" s="319"/>
      <c r="G235" s="319"/>
      <c r="H235" s="319"/>
    </row>
    <row r="236" spans="2:8" ht="21.75" customHeight="1" thickBot="1" x14ac:dyDescent="0.4">
      <c r="B236" s="277" t="s">
        <v>1894</v>
      </c>
      <c r="C236" s="278"/>
      <c r="D236" s="278"/>
      <c r="E236" s="278"/>
      <c r="F236" s="278"/>
      <c r="G236" s="278"/>
      <c r="H236" s="279"/>
    </row>
    <row r="237" spans="2:8" ht="12" customHeight="1" thickBot="1" x14ac:dyDescent="0.25">
      <c r="B237" s="280" t="s">
        <v>1891</v>
      </c>
      <c r="C237" s="281"/>
      <c r="D237" s="281"/>
      <c r="E237" s="282"/>
      <c r="F237" s="280" t="s">
        <v>1890</v>
      </c>
      <c r="G237" s="281"/>
      <c r="H237" s="282"/>
    </row>
    <row r="238" spans="2:8" ht="12" customHeight="1" thickBot="1" x14ac:dyDescent="0.25">
      <c r="B238" s="283" t="s">
        <v>1896</v>
      </c>
      <c r="C238" s="283" t="s">
        <v>20</v>
      </c>
      <c r="D238" s="283" t="s">
        <v>21</v>
      </c>
      <c r="E238" s="283" t="s">
        <v>22</v>
      </c>
      <c r="F238" s="283" t="s">
        <v>20</v>
      </c>
      <c r="G238" s="283" t="s">
        <v>21</v>
      </c>
      <c r="H238" s="283" t="s">
        <v>22</v>
      </c>
    </row>
    <row r="239" spans="2:8" s="152" customFormat="1" ht="11.25" customHeight="1" x14ac:dyDescent="0.2">
      <c r="B239" s="176" t="s">
        <v>1681</v>
      </c>
      <c r="C239" s="153"/>
      <c r="D239" s="154">
        <f t="shared" ref="D239:D271" si="17">IF(B239="","",VLOOKUP(B239,INVENTARIO,2))</f>
        <v>7.2</v>
      </c>
      <c r="E239" s="154" t="str">
        <f>IF(C239=0,"",C239*D239)</f>
        <v/>
      </c>
      <c r="F239" s="185">
        <v>8</v>
      </c>
      <c r="G239" s="154">
        <f>D239</f>
        <v>7.2</v>
      </c>
      <c r="H239" s="155">
        <f>IF(F239=0,"",F239*G239)</f>
        <v>57.6</v>
      </c>
    </row>
    <row r="240" spans="2:8" s="152" customFormat="1" ht="11.25" customHeight="1" x14ac:dyDescent="0.2">
      <c r="B240" s="176" t="s">
        <v>1752</v>
      </c>
      <c r="C240" s="156"/>
      <c r="D240" s="155">
        <f t="shared" si="17"/>
        <v>6.7033333333333331</v>
      </c>
      <c r="E240" s="155" t="str">
        <f t="shared" ref="E240:E271" si="18">IF(C240=0,"",C240*D240)</f>
        <v/>
      </c>
      <c r="F240" s="181">
        <v>12</v>
      </c>
      <c r="G240" s="155">
        <f t="shared" ref="G240:G271" si="19">D240</f>
        <v>6.7033333333333331</v>
      </c>
      <c r="H240" s="155">
        <f t="shared" ref="H240:H271" si="20">IF(F240=0,"",F240*G240)</f>
        <v>80.44</v>
      </c>
    </row>
    <row r="241" spans="2:8" s="152" customFormat="1" ht="11.25" customHeight="1" x14ac:dyDescent="0.2">
      <c r="B241" s="176" t="s">
        <v>1753</v>
      </c>
      <c r="C241" s="156"/>
      <c r="D241" s="155">
        <f t="shared" si="17"/>
        <v>4.55</v>
      </c>
      <c r="E241" s="155" t="str">
        <f t="shared" si="18"/>
        <v/>
      </c>
      <c r="F241" s="181">
        <f>5*24</f>
        <v>120</v>
      </c>
      <c r="G241" s="155">
        <f t="shared" si="19"/>
        <v>4.55</v>
      </c>
      <c r="H241" s="155">
        <f t="shared" si="20"/>
        <v>546</v>
      </c>
    </row>
    <row r="242" spans="2:8" s="152" customFormat="1" ht="11.25" customHeight="1" x14ac:dyDescent="0.2">
      <c r="B242" s="176" t="s">
        <v>1756</v>
      </c>
      <c r="C242" s="156"/>
      <c r="D242" s="155">
        <f t="shared" si="17"/>
        <v>22.95</v>
      </c>
      <c r="E242" s="155" t="str">
        <f t="shared" si="18"/>
        <v/>
      </c>
      <c r="F242" s="181">
        <v>3</v>
      </c>
      <c r="G242" s="155">
        <f t="shared" si="19"/>
        <v>22.95</v>
      </c>
      <c r="H242" s="155">
        <f t="shared" si="20"/>
        <v>68.849999999999994</v>
      </c>
    </row>
    <row r="243" spans="2:8" s="152" customFormat="1" ht="11.25" customHeight="1" x14ac:dyDescent="0.2">
      <c r="B243" s="176" t="s">
        <v>1757</v>
      </c>
      <c r="C243" s="156"/>
      <c r="D243" s="155">
        <f t="shared" si="17"/>
        <v>23.1</v>
      </c>
      <c r="E243" s="155" t="str">
        <f t="shared" si="18"/>
        <v/>
      </c>
      <c r="F243" s="181">
        <v>1</v>
      </c>
      <c r="G243" s="155">
        <f t="shared" si="19"/>
        <v>23.1</v>
      </c>
      <c r="H243" s="155">
        <f t="shared" si="20"/>
        <v>23.1</v>
      </c>
    </row>
    <row r="244" spans="2:8" s="152" customFormat="1" ht="11.25" customHeight="1" x14ac:dyDescent="0.2">
      <c r="B244" s="176" t="s">
        <v>1758</v>
      </c>
      <c r="C244" s="156"/>
      <c r="D244" s="155">
        <f t="shared" si="17"/>
        <v>17.190000000000001</v>
      </c>
      <c r="E244" s="155" t="str">
        <f t="shared" si="18"/>
        <v/>
      </c>
      <c r="F244" s="181">
        <v>1</v>
      </c>
      <c r="G244" s="155">
        <f t="shared" si="19"/>
        <v>17.190000000000001</v>
      </c>
      <c r="H244" s="155">
        <f t="shared" si="20"/>
        <v>17.190000000000001</v>
      </c>
    </row>
    <row r="245" spans="2:8" s="152" customFormat="1" ht="11.25" customHeight="1" x14ac:dyDescent="0.2">
      <c r="B245" s="176" t="s">
        <v>1855</v>
      </c>
      <c r="C245" s="156"/>
      <c r="D245" s="155">
        <f t="shared" si="17"/>
        <v>13</v>
      </c>
      <c r="E245" s="155" t="str">
        <f t="shared" si="18"/>
        <v/>
      </c>
      <c r="F245" s="181">
        <v>1</v>
      </c>
      <c r="G245" s="155">
        <f t="shared" si="19"/>
        <v>13</v>
      </c>
      <c r="H245" s="155">
        <f t="shared" si="20"/>
        <v>13</v>
      </c>
    </row>
    <row r="246" spans="2:8" s="152" customFormat="1" x14ac:dyDescent="0.2">
      <c r="B246" s="176" t="s">
        <v>1759</v>
      </c>
      <c r="C246" s="156"/>
      <c r="D246" s="155">
        <f t="shared" si="17"/>
        <v>10.72</v>
      </c>
      <c r="E246" s="155" t="str">
        <f t="shared" si="18"/>
        <v/>
      </c>
      <c r="F246" s="181">
        <v>2</v>
      </c>
      <c r="G246" s="155">
        <f t="shared" si="19"/>
        <v>10.72</v>
      </c>
      <c r="H246" s="155">
        <f t="shared" si="20"/>
        <v>21.44</v>
      </c>
    </row>
    <row r="247" spans="2:8" s="152" customFormat="1" ht="11.25" customHeight="1" x14ac:dyDescent="0.2">
      <c r="B247" s="176" t="s">
        <v>1760</v>
      </c>
      <c r="C247" s="156"/>
      <c r="D247" s="155">
        <f t="shared" si="17"/>
        <v>10.73</v>
      </c>
      <c r="E247" s="155" t="str">
        <f t="shared" si="18"/>
        <v/>
      </c>
      <c r="F247" s="181">
        <v>2</v>
      </c>
      <c r="G247" s="155">
        <f t="shared" si="19"/>
        <v>10.73</v>
      </c>
      <c r="H247" s="155">
        <f t="shared" si="20"/>
        <v>21.46</v>
      </c>
    </row>
    <row r="248" spans="2:8" s="152" customFormat="1" ht="11.25" customHeight="1" x14ac:dyDescent="0.2">
      <c r="B248" s="176" t="s">
        <v>1761</v>
      </c>
      <c r="C248" s="156"/>
      <c r="D248" s="155">
        <f t="shared" si="17"/>
        <v>8.7899999999999991</v>
      </c>
      <c r="E248" s="155" t="str">
        <f t="shared" si="18"/>
        <v/>
      </c>
      <c r="F248" s="181">
        <v>2</v>
      </c>
      <c r="G248" s="155">
        <f t="shared" si="19"/>
        <v>8.7899999999999991</v>
      </c>
      <c r="H248" s="155">
        <f t="shared" si="20"/>
        <v>17.579999999999998</v>
      </c>
    </row>
    <row r="249" spans="2:8" s="152" customFormat="1" ht="11.25" customHeight="1" x14ac:dyDescent="0.2">
      <c r="B249" s="176" t="s">
        <v>1762</v>
      </c>
      <c r="C249" s="156"/>
      <c r="D249" s="155">
        <f t="shared" si="17"/>
        <v>7.66</v>
      </c>
      <c r="E249" s="155" t="str">
        <f t="shared" si="18"/>
        <v/>
      </c>
      <c r="F249" s="181">
        <v>2</v>
      </c>
      <c r="G249" s="155">
        <f t="shared" si="19"/>
        <v>7.66</v>
      </c>
      <c r="H249" s="155">
        <f t="shared" si="20"/>
        <v>15.32</v>
      </c>
    </row>
    <row r="250" spans="2:8" s="152" customFormat="1" ht="11.25" customHeight="1" x14ac:dyDescent="0.2">
      <c r="B250" s="176" t="s">
        <v>1763</v>
      </c>
      <c r="C250" s="156"/>
      <c r="D250" s="155">
        <f t="shared" si="17"/>
        <v>1.7770000000000001E-2</v>
      </c>
      <c r="E250" s="155" t="str">
        <f t="shared" si="18"/>
        <v/>
      </c>
      <c r="F250" s="181">
        <v>6000</v>
      </c>
      <c r="G250" s="155">
        <f t="shared" si="19"/>
        <v>1.7770000000000001E-2</v>
      </c>
      <c r="H250" s="155">
        <f t="shared" si="20"/>
        <v>106.62</v>
      </c>
    </row>
    <row r="251" spans="2:8" s="152" customFormat="1" ht="11.25" customHeight="1" x14ac:dyDescent="0.2">
      <c r="B251" s="176"/>
      <c r="C251" s="156"/>
      <c r="D251" s="155" t="str">
        <f t="shared" si="17"/>
        <v/>
      </c>
      <c r="E251" s="155" t="str">
        <f t="shared" si="18"/>
        <v/>
      </c>
      <c r="F251" s="181"/>
      <c r="G251" s="155" t="str">
        <f t="shared" si="19"/>
        <v/>
      </c>
      <c r="H251" s="155" t="str">
        <f t="shared" si="20"/>
        <v/>
      </c>
    </row>
    <row r="252" spans="2:8" s="152" customFormat="1" ht="11.25" customHeight="1" x14ac:dyDescent="0.2">
      <c r="B252" s="176"/>
      <c r="C252" s="156"/>
      <c r="D252" s="155" t="str">
        <f t="shared" si="17"/>
        <v/>
      </c>
      <c r="E252" s="155" t="str">
        <f t="shared" si="18"/>
        <v/>
      </c>
      <c r="F252" s="181"/>
      <c r="G252" s="155" t="str">
        <f t="shared" si="19"/>
        <v/>
      </c>
      <c r="H252" s="155" t="str">
        <f t="shared" si="20"/>
        <v/>
      </c>
    </row>
    <row r="253" spans="2:8" s="152" customFormat="1" ht="11.25" customHeight="1" x14ac:dyDescent="0.2">
      <c r="B253" s="176"/>
      <c r="C253" s="156"/>
      <c r="D253" s="155" t="str">
        <f t="shared" si="17"/>
        <v/>
      </c>
      <c r="E253" s="155" t="str">
        <f t="shared" si="18"/>
        <v/>
      </c>
      <c r="F253" s="181"/>
      <c r="G253" s="155" t="str">
        <f t="shared" si="19"/>
        <v/>
      </c>
      <c r="H253" s="155" t="str">
        <f t="shared" si="20"/>
        <v/>
      </c>
    </row>
    <row r="254" spans="2:8" s="152" customFormat="1" ht="11.25" customHeight="1" x14ac:dyDescent="0.2">
      <c r="B254" s="176"/>
      <c r="C254" s="156"/>
      <c r="D254" s="155" t="str">
        <f t="shared" si="17"/>
        <v/>
      </c>
      <c r="E254" s="155" t="str">
        <f t="shared" si="18"/>
        <v/>
      </c>
      <c r="F254" s="181"/>
      <c r="G254" s="155" t="str">
        <f t="shared" si="19"/>
        <v/>
      </c>
      <c r="H254" s="155" t="str">
        <f t="shared" si="20"/>
        <v/>
      </c>
    </row>
    <row r="255" spans="2:8" s="152" customFormat="1" ht="11.25" customHeight="1" x14ac:dyDescent="0.2">
      <c r="B255" s="176"/>
      <c r="C255" s="156"/>
      <c r="D255" s="155" t="str">
        <f t="shared" si="17"/>
        <v/>
      </c>
      <c r="E255" s="155" t="str">
        <f t="shared" si="18"/>
        <v/>
      </c>
      <c r="F255" s="181"/>
      <c r="G255" s="155" t="str">
        <f t="shared" si="19"/>
        <v/>
      </c>
      <c r="H255" s="155" t="str">
        <f t="shared" si="20"/>
        <v/>
      </c>
    </row>
    <row r="256" spans="2:8" s="152" customFormat="1" ht="11.25" customHeight="1" x14ac:dyDescent="0.2">
      <c r="B256" s="176"/>
      <c r="C256" s="156"/>
      <c r="D256" s="155" t="str">
        <f t="shared" si="17"/>
        <v/>
      </c>
      <c r="E256" s="155" t="str">
        <f t="shared" si="18"/>
        <v/>
      </c>
      <c r="F256" s="181"/>
      <c r="G256" s="155" t="str">
        <f t="shared" si="19"/>
        <v/>
      </c>
      <c r="H256" s="155" t="str">
        <f t="shared" si="20"/>
        <v/>
      </c>
    </row>
    <row r="257" spans="1:8" s="152" customFormat="1" ht="11.25" customHeight="1" x14ac:dyDescent="0.2">
      <c r="B257" s="176"/>
      <c r="C257" s="156"/>
      <c r="D257" s="155" t="str">
        <f t="shared" si="17"/>
        <v/>
      </c>
      <c r="E257" s="155" t="str">
        <f t="shared" si="18"/>
        <v/>
      </c>
      <c r="F257" s="181"/>
      <c r="G257" s="155" t="str">
        <f t="shared" si="19"/>
        <v/>
      </c>
      <c r="H257" s="155" t="str">
        <f t="shared" si="20"/>
        <v/>
      </c>
    </row>
    <row r="258" spans="1:8" s="152" customFormat="1" ht="11.25" customHeight="1" x14ac:dyDescent="0.2">
      <c r="B258" s="176"/>
      <c r="C258" s="156"/>
      <c r="D258" s="155" t="str">
        <f t="shared" si="17"/>
        <v/>
      </c>
      <c r="E258" s="155" t="str">
        <f t="shared" si="18"/>
        <v/>
      </c>
      <c r="F258" s="181"/>
      <c r="G258" s="155" t="str">
        <f t="shared" si="19"/>
        <v/>
      </c>
      <c r="H258" s="155" t="str">
        <f t="shared" si="20"/>
        <v/>
      </c>
    </row>
    <row r="259" spans="1:8" s="152" customFormat="1" ht="11.25" customHeight="1" x14ac:dyDescent="0.2">
      <c r="B259" s="176"/>
      <c r="C259" s="156"/>
      <c r="D259" s="155" t="str">
        <f t="shared" si="17"/>
        <v/>
      </c>
      <c r="E259" s="155" t="str">
        <f t="shared" si="18"/>
        <v/>
      </c>
      <c r="F259" s="181"/>
      <c r="G259" s="155" t="str">
        <f t="shared" si="19"/>
        <v/>
      </c>
      <c r="H259" s="155" t="str">
        <f t="shared" si="20"/>
        <v/>
      </c>
    </row>
    <row r="260" spans="1:8" s="152" customFormat="1" ht="11.25" customHeight="1" x14ac:dyDescent="0.2">
      <c r="B260" s="176"/>
      <c r="C260" s="156"/>
      <c r="D260" s="155" t="str">
        <f t="shared" si="17"/>
        <v/>
      </c>
      <c r="E260" s="155" t="str">
        <f t="shared" si="18"/>
        <v/>
      </c>
      <c r="F260" s="181"/>
      <c r="G260" s="155" t="str">
        <f t="shared" si="19"/>
        <v/>
      </c>
      <c r="H260" s="155" t="str">
        <f t="shared" si="20"/>
        <v/>
      </c>
    </row>
    <row r="261" spans="1:8" s="152" customFormat="1" ht="11.25" customHeight="1" x14ac:dyDescent="0.2">
      <c r="B261" s="176"/>
      <c r="C261" s="156"/>
      <c r="D261" s="155" t="str">
        <f t="shared" si="17"/>
        <v/>
      </c>
      <c r="E261" s="155" t="str">
        <f t="shared" si="18"/>
        <v/>
      </c>
      <c r="F261" s="181"/>
      <c r="G261" s="155" t="str">
        <f t="shared" si="19"/>
        <v/>
      </c>
      <c r="H261" s="155" t="str">
        <f t="shared" si="20"/>
        <v/>
      </c>
    </row>
    <row r="262" spans="1:8" s="152" customFormat="1" ht="11.25" customHeight="1" x14ac:dyDescent="0.2">
      <c r="B262" s="176"/>
      <c r="C262" s="156"/>
      <c r="D262" s="155" t="str">
        <f t="shared" si="17"/>
        <v/>
      </c>
      <c r="E262" s="155" t="str">
        <f t="shared" si="18"/>
        <v/>
      </c>
      <c r="F262" s="181"/>
      <c r="G262" s="155" t="str">
        <f t="shared" si="19"/>
        <v/>
      </c>
      <c r="H262" s="155" t="str">
        <f t="shared" si="20"/>
        <v/>
      </c>
    </row>
    <row r="263" spans="1:8" ht="11.25" customHeight="1" x14ac:dyDescent="0.2">
      <c r="B263" s="176"/>
      <c r="C263" s="156"/>
      <c r="D263" s="155" t="str">
        <f t="shared" si="17"/>
        <v/>
      </c>
      <c r="E263" s="155" t="str">
        <f t="shared" si="18"/>
        <v/>
      </c>
      <c r="F263" s="181"/>
      <c r="G263" s="155" t="str">
        <f t="shared" si="19"/>
        <v/>
      </c>
      <c r="H263" s="155" t="str">
        <f t="shared" si="20"/>
        <v/>
      </c>
    </row>
    <row r="264" spans="1:8" ht="11.25" customHeight="1" x14ac:dyDescent="0.2">
      <c r="B264" s="176"/>
      <c r="C264" s="156"/>
      <c r="D264" s="155" t="str">
        <f t="shared" si="17"/>
        <v/>
      </c>
      <c r="E264" s="155" t="str">
        <f t="shared" si="18"/>
        <v/>
      </c>
      <c r="F264" s="181"/>
      <c r="G264" s="155" t="str">
        <f t="shared" si="19"/>
        <v/>
      </c>
      <c r="H264" s="155" t="str">
        <f t="shared" si="20"/>
        <v/>
      </c>
    </row>
    <row r="265" spans="1:8" ht="11.25" customHeight="1" x14ac:dyDescent="0.2">
      <c r="B265" s="176"/>
      <c r="C265" s="156"/>
      <c r="D265" s="155" t="str">
        <f t="shared" si="17"/>
        <v/>
      </c>
      <c r="E265" s="155" t="str">
        <f t="shared" si="18"/>
        <v/>
      </c>
      <c r="F265" s="181"/>
      <c r="G265" s="155" t="str">
        <f t="shared" si="19"/>
        <v/>
      </c>
      <c r="H265" s="155" t="str">
        <f t="shared" si="20"/>
        <v/>
      </c>
    </row>
    <row r="266" spans="1:8" ht="11.25" customHeight="1" x14ac:dyDescent="0.2">
      <c r="B266" s="176"/>
      <c r="C266" s="156"/>
      <c r="D266" s="155" t="str">
        <f t="shared" si="17"/>
        <v/>
      </c>
      <c r="E266" s="155" t="str">
        <f t="shared" si="18"/>
        <v/>
      </c>
      <c r="F266" s="181"/>
      <c r="G266" s="155" t="str">
        <f t="shared" si="19"/>
        <v/>
      </c>
      <c r="H266" s="155" t="str">
        <f t="shared" si="20"/>
        <v/>
      </c>
    </row>
    <row r="267" spans="1:8" ht="11.25" customHeight="1" x14ac:dyDescent="0.2">
      <c r="B267" s="176"/>
      <c r="C267" s="156"/>
      <c r="D267" s="155" t="str">
        <f t="shared" si="17"/>
        <v/>
      </c>
      <c r="E267" s="155" t="str">
        <f t="shared" si="18"/>
        <v/>
      </c>
      <c r="F267" s="181"/>
      <c r="G267" s="155" t="str">
        <f t="shared" si="19"/>
        <v/>
      </c>
      <c r="H267" s="155" t="str">
        <f t="shared" si="20"/>
        <v/>
      </c>
    </row>
    <row r="268" spans="1:8" ht="11.25" customHeight="1" x14ac:dyDescent="0.2">
      <c r="B268" s="176"/>
      <c r="C268" s="156"/>
      <c r="D268" s="155" t="str">
        <f t="shared" si="17"/>
        <v/>
      </c>
      <c r="E268" s="155" t="str">
        <f t="shared" si="18"/>
        <v/>
      </c>
      <c r="F268" s="181"/>
      <c r="G268" s="155" t="str">
        <f t="shared" si="19"/>
        <v/>
      </c>
      <c r="H268" s="155" t="str">
        <f t="shared" si="20"/>
        <v/>
      </c>
    </row>
    <row r="269" spans="1:8" ht="11.25" customHeight="1" x14ac:dyDescent="0.2">
      <c r="B269" s="176"/>
      <c r="C269" s="156"/>
      <c r="D269" s="155" t="str">
        <f t="shared" si="17"/>
        <v/>
      </c>
      <c r="E269" s="155" t="str">
        <f t="shared" si="18"/>
        <v/>
      </c>
      <c r="F269" s="181"/>
      <c r="G269" s="155" t="str">
        <f t="shared" si="19"/>
        <v/>
      </c>
      <c r="H269" s="155" t="str">
        <f t="shared" si="20"/>
        <v/>
      </c>
    </row>
    <row r="270" spans="1:8" ht="11.25" customHeight="1" x14ac:dyDescent="0.2">
      <c r="B270" s="176"/>
      <c r="C270" s="156"/>
      <c r="D270" s="155" t="str">
        <f t="shared" si="17"/>
        <v/>
      </c>
      <c r="E270" s="155" t="str">
        <f t="shared" si="18"/>
        <v/>
      </c>
      <c r="F270" s="181"/>
      <c r="G270" s="155" t="str">
        <f t="shared" si="19"/>
        <v/>
      </c>
      <c r="H270" s="155" t="str">
        <f t="shared" si="20"/>
        <v/>
      </c>
    </row>
    <row r="271" spans="1:8" ht="12" customHeight="1" thickBot="1" x14ac:dyDescent="0.25">
      <c r="B271" s="284"/>
      <c r="C271" s="285"/>
      <c r="D271" s="309" t="str">
        <f t="shared" si="17"/>
        <v/>
      </c>
      <c r="E271" s="309" t="str">
        <f t="shared" si="18"/>
        <v/>
      </c>
      <c r="F271" s="286"/>
      <c r="G271" s="309" t="str">
        <f t="shared" si="19"/>
        <v/>
      </c>
      <c r="H271" s="155" t="str">
        <f t="shared" si="20"/>
        <v/>
      </c>
    </row>
    <row r="272" spans="1:8" ht="12.75" customHeight="1" thickBot="1" x14ac:dyDescent="0.25">
      <c r="A272" s="159"/>
      <c r="B272" s="287" t="s">
        <v>831</v>
      </c>
      <c r="C272" s="288"/>
      <c r="D272" s="311"/>
      <c r="E272" s="292">
        <f>SUM(E233:E271)</f>
        <v>0</v>
      </c>
      <c r="F272" s="287" t="s">
        <v>831</v>
      </c>
      <c r="G272" s="288"/>
      <c r="H272" s="292">
        <f>SUM(H239:H271)</f>
        <v>988.60000000000025</v>
      </c>
    </row>
    <row r="273" spans="1:8" ht="12.75" customHeight="1" thickBot="1" x14ac:dyDescent="0.25">
      <c r="A273" s="159"/>
      <c r="B273" s="287" t="s">
        <v>832</v>
      </c>
      <c r="C273" s="288"/>
      <c r="D273" s="288"/>
      <c r="E273" s="292">
        <f>E272*10/100</f>
        <v>0</v>
      </c>
      <c r="F273" s="312" t="s">
        <v>832</v>
      </c>
      <c r="G273" s="295"/>
      <c r="H273" s="292">
        <f>H272*10/100</f>
        <v>98.860000000000014</v>
      </c>
    </row>
    <row r="274" spans="1:8" ht="12.75" customHeight="1" thickBot="1" x14ac:dyDescent="0.25">
      <c r="A274" s="159"/>
      <c r="B274" s="287" t="s">
        <v>24</v>
      </c>
      <c r="C274" s="288"/>
      <c r="D274" s="288"/>
      <c r="E274" s="321">
        <f>E272+E273</f>
        <v>0</v>
      </c>
      <c r="F274" s="287" t="s">
        <v>24</v>
      </c>
      <c r="G274" s="295"/>
      <c r="H274" s="292">
        <f>H272+H273</f>
        <v>1087.4600000000003</v>
      </c>
    </row>
    <row r="275" spans="1:8" ht="12.75" customHeight="1" thickBot="1" x14ac:dyDescent="0.25">
      <c r="B275" s="291" t="s">
        <v>10</v>
      </c>
      <c r="C275" s="288"/>
      <c r="D275" s="288"/>
      <c r="E275" s="322">
        <v>105</v>
      </c>
      <c r="F275" s="287" t="s">
        <v>10</v>
      </c>
      <c r="G275" s="288"/>
      <c r="H275" s="314">
        <v>93</v>
      </c>
    </row>
    <row r="276" spans="1:8" ht="12.75" customHeight="1" thickBot="1" x14ac:dyDescent="0.25">
      <c r="B276" s="298" t="s">
        <v>1261</v>
      </c>
      <c r="C276" s="288"/>
      <c r="D276" s="288"/>
      <c r="E276" s="323">
        <f>E274/E275</f>
        <v>0</v>
      </c>
      <c r="F276" s="287" t="s">
        <v>1261</v>
      </c>
      <c r="G276" s="288"/>
      <c r="H276" s="292">
        <f>H274/H275</f>
        <v>11.693118279569894</v>
      </c>
    </row>
    <row r="277" spans="1:8" ht="12" customHeight="1" thickBot="1" x14ac:dyDescent="0.25">
      <c r="B277" s="283" t="s">
        <v>1264</v>
      </c>
      <c r="C277" s="315" t="s">
        <v>1754</v>
      </c>
      <c r="D277" s="316"/>
      <c r="E277" s="316"/>
      <c r="F277" s="316"/>
      <c r="G277" s="316"/>
      <c r="H277" s="318"/>
    </row>
    <row r="278" spans="1:8" ht="12" customHeight="1" thickBot="1" x14ac:dyDescent="0.25">
      <c r="B278" s="283" t="s">
        <v>1265</v>
      </c>
      <c r="C278" s="302" t="s">
        <v>1856</v>
      </c>
      <c r="D278" s="303"/>
      <c r="E278" s="303"/>
      <c r="F278" s="303"/>
      <c r="G278" s="303"/>
      <c r="H278" s="304"/>
    </row>
    <row r="279" spans="1:8" ht="12" customHeight="1" thickBot="1" x14ac:dyDescent="0.25">
      <c r="B279" s="283" t="s">
        <v>1266</v>
      </c>
      <c r="C279" s="302" t="s">
        <v>1755</v>
      </c>
      <c r="D279" s="303"/>
      <c r="E279" s="303"/>
      <c r="F279" s="303"/>
      <c r="G279" s="303"/>
      <c r="H279" s="304"/>
    </row>
    <row r="280" spans="1:8" ht="12" customHeight="1" thickBot="1" x14ac:dyDescent="0.25">
      <c r="B280" s="283" t="s">
        <v>1267</v>
      </c>
      <c r="C280" s="324"/>
      <c r="D280" s="325"/>
      <c r="E280" s="325"/>
      <c r="F280" s="325"/>
      <c r="G280" s="325"/>
      <c r="H280" s="326"/>
    </row>
    <row r="281" spans="1:8" ht="12" customHeight="1" thickBot="1" x14ac:dyDescent="0.25">
      <c r="B281" s="283"/>
      <c r="C281" s="319"/>
      <c r="D281" s="319"/>
      <c r="E281" s="319"/>
      <c r="F281" s="319"/>
      <c r="G281" s="319"/>
      <c r="H281" s="319"/>
    </row>
    <row r="282" spans="1:8" ht="12" customHeight="1" thickBot="1" x14ac:dyDescent="0.25">
      <c r="B282" s="283"/>
      <c r="C282" s="302"/>
      <c r="D282" s="303"/>
      <c r="E282" s="303"/>
      <c r="F282" s="303"/>
      <c r="G282" s="303"/>
      <c r="H282" s="304"/>
    </row>
    <row r="283" spans="1:8" ht="12" customHeight="1" thickBot="1" x14ac:dyDescent="0.25">
      <c r="B283" s="283"/>
      <c r="C283" s="302"/>
      <c r="D283" s="303"/>
      <c r="E283" s="303"/>
      <c r="F283" s="303"/>
      <c r="G283" s="303"/>
      <c r="H283" s="304"/>
    </row>
    <row r="284" spans="1:8" ht="12" customHeight="1" thickBot="1" x14ac:dyDescent="0.25">
      <c r="B284" s="283"/>
      <c r="C284" s="302"/>
      <c r="D284" s="303"/>
      <c r="E284" s="303"/>
      <c r="F284" s="303"/>
      <c r="G284" s="303"/>
      <c r="H284" s="304"/>
    </row>
    <row r="285" spans="1:8" ht="12" customHeight="1" thickBot="1" x14ac:dyDescent="0.25">
      <c r="B285" s="283"/>
      <c r="C285" s="305"/>
      <c r="D285" s="306"/>
      <c r="E285" s="306"/>
      <c r="F285" s="306"/>
      <c r="G285" s="306"/>
      <c r="H285" s="307"/>
    </row>
    <row r="286" spans="1:8" ht="12" customHeight="1" thickBot="1" x14ac:dyDescent="0.25">
      <c r="B286" s="152"/>
      <c r="C286" s="319"/>
      <c r="D286" s="319"/>
      <c r="E286" s="319"/>
      <c r="F286" s="319"/>
      <c r="G286" s="319"/>
      <c r="H286" s="319"/>
    </row>
    <row r="287" spans="1:8" ht="21.75" customHeight="1" thickBot="1" x14ac:dyDescent="0.4">
      <c r="B287" s="277" t="s">
        <v>1895</v>
      </c>
      <c r="C287" s="278"/>
      <c r="D287" s="278"/>
      <c r="E287" s="278"/>
      <c r="F287" s="278"/>
      <c r="G287" s="278"/>
      <c r="H287" s="279"/>
    </row>
    <row r="288" spans="1:8" ht="12" customHeight="1" thickBot="1" x14ac:dyDescent="0.25">
      <c r="B288" s="280" t="s">
        <v>1891</v>
      </c>
      <c r="C288" s="281"/>
      <c r="D288" s="281"/>
      <c r="E288" s="282"/>
      <c r="F288" s="280" t="s">
        <v>1890</v>
      </c>
      <c r="G288" s="281"/>
      <c r="H288" s="282"/>
    </row>
    <row r="289" spans="2:8" ht="12" customHeight="1" thickBot="1" x14ac:dyDescent="0.25">
      <c r="B289" s="283" t="s">
        <v>1896</v>
      </c>
      <c r="C289" s="283" t="s">
        <v>20</v>
      </c>
      <c r="D289" s="283" t="s">
        <v>21</v>
      </c>
      <c r="E289" s="283" t="s">
        <v>22</v>
      </c>
      <c r="F289" s="283" t="s">
        <v>20</v>
      </c>
      <c r="G289" s="283" t="s">
        <v>21</v>
      </c>
      <c r="H289" s="283" t="s">
        <v>22</v>
      </c>
    </row>
    <row r="290" spans="2:8" s="152" customFormat="1" ht="11.25" customHeight="1" x14ac:dyDescent="0.2">
      <c r="B290" s="175"/>
      <c r="C290" s="160">
        <v>1</v>
      </c>
      <c r="D290" s="154" t="str">
        <f t="shared" ref="D290:D328" si="21">IF(B290="","",VLOOKUP(B290,INVENTARIO,2))</f>
        <v/>
      </c>
      <c r="E290" s="154" t="e">
        <f>IF(C290=0,"",C290*D290)</f>
        <v>#VALUE!</v>
      </c>
      <c r="F290" s="179"/>
      <c r="G290" s="154" t="str">
        <f>D290</f>
        <v/>
      </c>
      <c r="H290" s="155" t="str">
        <f>IF(F290=0,"",F290*G290)</f>
        <v/>
      </c>
    </row>
    <row r="291" spans="2:8" s="152" customFormat="1" ht="11.25" customHeight="1" x14ac:dyDescent="0.2">
      <c r="B291" s="176"/>
      <c r="C291" s="161">
        <v>3000</v>
      </c>
      <c r="D291" s="155" t="str">
        <f t="shared" si="21"/>
        <v/>
      </c>
      <c r="E291" s="155" t="e">
        <f t="shared" ref="E291:E328" si="22">IF(C291=0,"",C291*D291)</f>
        <v>#VALUE!</v>
      </c>
      <c r="F291" s="180"/>
      <c r="G291" s="155" t="str">
        <f t="shared" ref="G291:G328" si="23">D291</f>
        <v/>
      </c>
      <c r="H291" s="155" t="str">
        <f t="shared" ref="H291:H328" si="24">IF(F291=0,"",F291*G291)</f>
        <v/>
      </c>
    </row>
    <row r="292" spans="2:8" s="152" customFormat="1" ht="11.25" customHeight="1" x14ac:dyDescent="0.2">
      <c r="B292" s="176"/>
      <c r="C292" s="161">
        <v>2000</v>
      </c>
      <c r="D292" s="155" t="str">
        <f t="shared" si="21"/>
        <v/>
      </c>
      <c r="E292" s="155" t="e">
        <f t="shared" si="22"/>
        <v>#VALUE!</v>
      </c>
      <c r="F292" s="180"/>
      <c r="G292" s="155" t="str">
        <f t="shared" si="23"/>
        <v/>
      </c>
      <c r="H292" s="155" t="str">
        <f t="shared" si="24"/>
        <v/>
      </c>
    </row>
    <row r="293" spans="2:8" s="152" customFormat="1" ht="11.25" customHeight="1" x14ac:dyDescent="0.2">
      <c r="B293" s="176"/>
      <c r="C293" s="161">
        <v>500</v>
      </c>
      <c r="D293" s="155" t="str">
        <f t="shared" si="21"/>
        <v/>
      </c>
      <c r="E293" s="155" t="e">
        <f t="shared" si="22"/>
        <v>#VALUE!</v>
      </c>
      <c r="F293" s="180"/>
      <c r="G293" s="155" t="str">
        <f t="shared" si="23"/>
        <v/>
      </c>
      <c r="H293" s="155" t="str">
        <f t="shared" si="24"/>
        <v/>
      </c>
    </row>
    <row r="294" spans="2:8" s="152" customFormat="1" ht="11.25" customHeight="1" x14ac:dyDescent="0.2">
      <c r="B294" s="176"/>
      <c r="C294" s="161">
        <v>2000</v>
      </c>
      <c r="D294" s="155" t="str">
        <f t="shared" si="21"/>
        <v/>
      </c>
      <c r="E294" s="155" t="e">
        <f t="shared" si="22"/>
        <v>#VALUE!</v>
      </c>
      <c r="F294" s="180"/>
      <c r="G294" s="155" t="str">
        <f t="shared" si="23"/>
        <v/>
      </c>
      <c r="H294" s="155" t="str">
        <f t="shared" si="24"/>
        <v/>
      </c>
    </row>
    <row r="295" spans="2:8" s="152" customFormat="1" ht="11.25" customHeight="1" x14ac:dyDescent="0.2">
      <c r="B295" s="176"/>
      <c r="C295" s="161">
        <v>10</v>
      </c>
      <c r="D295" s="155" t="str">
        <f t="shared" si="21"/>
        <v/>
      </c>
      <c r="E295" s="155" t="e">
        <f t="shared" si="22"/>
        <v>#VALUE!</v>
      </c>
      <c r="F295" s="180"/>
      <c r="G295" s="155" t="str">
        <f t="shared" si="23"/>
        <v/>
      </c>
      <c r="H295" s="155" t="str">
        <f t="shared" si="24"/>
        <v/>
      </c>
    </row>
    <row r="296" spans="2:8" s="152" customFormat="1" ht="11.25" customHeight="1" x14ac:dyDescent="0.2">
      <c r="B296" s="176"/>
      <c r="C296" s="156"/>
      <c r="D296" s="155" t="str">
        <f t="shared" si="21"/>
        <v/>
      </c>
      <c r="E296" s="155" t="str">
        <f t="shared" si="22"/>
        <v/>
      </c>
      <c r="F296" s="180"/>
      <c r="G296" s="155" t="str">
        <f t="shared" si="23"/>
        <v/>
      </c>
      <c r="H296" s="155" t="str">
        <f t="shared" si="24"/>
        <v/>
      </c>
    </row>
    <row r="297" spans="2:8" ht="11.25" customHeight="1" x14ac:dyDescent="0.2">
      <c r="B297" s="176"/>
      <c r="C297" s="156"/>
      <c r="D297" s="155" t="str">
        <f t="shared" si="21"/>
        <v/>
      </c>
      <c r="E297" s="155" t="str">
        <f t="shared" si="22"/>
        <v/>
      </c>
      <c r="F297" s="180"/>
      <c r="G297" s="155" t="str">
        <f t="shared" si="23"/>
        <v/>
      </c>
      <c r="H297" s="155" t="str">
        <f t="shared" si="24"/>
        <v/>
      </c>
    </row>
    <row r="298" spans="2:8" ht="11.25" customHeight="1" x14ac:dyDescent="0.2">
      <c r="B298" s="176"/>
      <c r="C298" s="156"/>
      <c r="D298" s="155"/>
      <c r="E298" s="155"/>
      <c r="F298" s="180"/>
      <c r="G298" s="155"/>
      <c r="H298" s="155" t="str">
        <f t="shared" si="24"/>
        <v/>
      </c>
    </row>
    <row r="299" spans="2:8" ht="11.25" customHeight="1" x14ac:dyDescent="0.2">
      <c r="B299" s="176"/>
      <c r="C299" s="156"/>
      <c r="D299" s="155" t="str">
        <f t="shared" si="21"/>
        <v/>
      </c>
      <c r="E299" s="155" t="str">
        <f t="shared" si="22"/>
        <v/>
      </c>
      <c r="F299" s="180"/>
      <c r="G299" s="155" t="str">
        <f t="shared" si="23"/>
        <v/>
      </c>
      <c r="H299" s="155" t="str">
        <f t="shared" si="24"/>
        <v/>
      </c>
    </row>
    <row r="300" spans="2:8" ht="11.25" customHeight="1" x14ac:dyDescent="0.2">
      <c r="B300" s="176"/>
      <c r="C300" s="156"/>
      <c r="D300" s="155" t="str">
        <f t="shared" si="21"/>
        <v/>
      </c>
      <c r="E300" s="155" t="str">
        <f t="shared" si="22"/>
        <v/>
      </c>
      <c r="F300" s="180"/>
      <c r="G300" s="155" t="str">
        <f t="shared" si="23"/>
        <v/>
      </c>
      <c r="H300" s="155" t="str">
        <f t="shared" si="24"/>
        <v/>
      </c>
    </row>
    <row r="301" spans="2:8" ht="11.25" customHeight="1" x14ac:dyDescent="0.2">
      <c r="B301" s="176"/>
      <c r="C301" s="156"/>
      <c r="D301" s="155" t="str">
        <f t="shared" si="21"/>
        <v/>
      </c>
      <c r="E301" s="155" t="str">
        <f t="shared" si="22"/>
        <v/>
      </c>
      <c r="F301" s="180"/>
      <c r="G301" s="155" t="str">
        <f t="shared" si="23"/>
        <v/>
      </c>
      <c r="H301" s="155" t="str">
        <f t="shared" si="24"/>
        <v/>
      </c>
    </row>
    <row r="302" spans="2:8" ht="11.25" customHeight="1" x14ac:dyDescent="0.2">
      <c r="B302" s="176"/>
      <c r="C302" s="156"/>
      <c r="D302" s="155" t="str">
        <f t="shared" si="21"/>
        <v/>
      </c>
      <c r="E302" s="155" t="str">
        <f t="shared" si="22"/>
        <v/>
      </c>
      <c r="F302" s="180"/>
      <c r="G302" s="155" t="str">
        <f t="shared" si="23"/>
        <v/>
      </c>
      <c r="H302" s="155" t="str">
        <f t="shared" si="24"/>
        <v/>
      </c>
    </row>
    <row r="303" spans="2:8" ht="11.25" customHeight="1" x14ac:dyDescent="0.2">
      <c r="B303" s="176"/>
      <c r="C303" s="156"/>
      <c r="D303" s="155" t="str">
        <f t="shared" si="21"/>
        <v/>
      </c>
      <c r="E303" s="155" t="str">
        <f t="shared" si="22"/>
        <v/>
      </c>
      <c r="F303" s="180"/>
      <c r="G303" s="155" t="str">
        <f t="shared" si="23"/>
        <v/>
      </c>
      <c r="H303" s="155" t="str">
        <f t="shared" si="24"/>
        <v/>
      </c>
    </row>
    <row r="304" spans="2:8" ht="11.25" customHeight="1" x14ac:dyDescent="0.2">
      <c r="B304" s="176"/>
      <c r="C304" s="156"/>
      <c r="D304" s="155" t="str">
        <f t="shared" si="21"/>
        <v/>
      </c>
      <c r="E304" s="155" t="str">
        <f t="shared" si="22"/>
        <v/>
      </c>
      <c r="F304" s="180"/>
      <c r="G304" s="155" t="str">
        <f t="shared" si="23"/>
        <v/>
      </c>
      <c r="H304" s="155" t="str">
        <f t="shared" si="24"/>
        <v/>
      </c>
    </row>
    <row r="305" spans="2:8" ht="11.25" customHeight="1" x14ac:dyDescent="0.2">
      <c r="B305" s="176"/>
      <c r="C305" s="156"/>
      <c r="D305" s="155" t="str">
        <f t="shared" si="21"/>
        <v/>
      </c>
      <c r="E305" s="155" t="str">
        <f t="shared" si="22"/>
        <v/>
      </c>
      <c r="F305" s="180"/>
      <c r="G305" s="155" t="str">
        <f t="shared" si="23"/>
        <v/>
      </c>
      <c r="H305" s="155" t="str">
        <f t="shared" si="24"/>
        <v/>
      </c>
    </row>
    <row r="306" spans="2:8" ht="11.25" customHeight="1" x14ac:dyDescent="0.2">
      <c r="B306" s="176"/>
      <c r="C306" s="156"/>
      <c r="D306" s="155" t="str">
        <f t="shared" si="21"/>
        <v/>
      </c>
      <c r="E306" s="155" t="str">
        <f t="shared" si="22"/>
        <v/>
      </c>
      <c r="F306" s="180"/>
      <c r="G306" s="155" t="str">
        <f t="shared" si="23"/>
        <v/>
      </c>
      <c r="H306" s="155" t="str">
        <f t="shared" si="24"/>
        <v/>
      </c>
    </row>
    <row r="307" spans="2:8" ht="11.25" customHeight="1" x14ac:dyDescent="0.2">
      <c r="B307" s="176"/>
      <c r="C307" s="156"/>
      <c r="D307" s="155" t="str">
        <f t="shared" si="21"/>
        <v/>
      </c>
      <c r="E307" s="155" t="str">
        <f t="shared" si="22"/>
        <v/>
      </c>
      <c r="F307" s="180"/>
      <c r="G307" s="155" t="str">
        <f t="shared" si="23"/>
        <v/>
      </c>
      <c r="H307" s="155" t="str">
        <f t="shared" si="24"/>
        <v/>
      </c>
    </row>
    <row r="308" spans="2:8" ht="11.25" customHeight="1" x14ac:dyDescent="0.2">
      <c r="B308" s="176"/>
      <c r="C308" s="156"/>
      <c r="D308" s="155" t="str">
        <f t="shared" si="21"/>
        <v/>
      </c>
      <c r="E308" s="155" t="str">
        <f t="shared" si="22"/>
        <v/>
      </c>
      <c r="F308" s="180"/>
      <c r="G308" s="155" t="str">
        <f t="shared" si="23"/>
        <v/>
      </c>
      <c r="H308" s="155" t="str">
        <f t="shared" si="24"/>
        <v/>
      </c>
    </row>
    <row r="309" spans="2:8" ht="11.25" customHeight="1" x14ac:dyDescent="0.2">
      <c r="B309" s="176"/>
      <c r="C309" s="156"/>
      <c r="D309" s="155" t="str">
        <f t="shared" si="21"/>
        <v/>
      </c>
      <c r="E309" s="155" t="str">
        <f t="shared" si="22"/>
        <v/>
      </c>
      <c r="F309" s="180"/>
      <c r="G309" s="155" t="str">
        <f t="shared" si="23"/>
        <v/>
      </c>
      <c r="H309" s="155" t="str">
        <f t="shared" si="24"/>
        <v/>
      </c>
    </row>
    <row r="310" spans="2:8" ht="11.25" customHeight="1" x14ac:dyDescent="0.2">
      <c r="B310" s="176"/>
      <c r="C310" s="156"/>
      <c r="D310" s="155" t="str">
        <f t="shared" si="21"/>
        <v/>
      </c>
      <c r="E310" s="155" t="str">
        <f t="shared" si="22"/>
        <v/>
      </c>
      <c r="F310" s="180"/>
      <c r="G310" s="155" t="str">
        <f t="shared" si="23"/>
        <v/>
      </c>
      <c r="H310" s="155" t="str">
        <f t="shared" si="24"/>
        <v/>
      </c>
    </row>
    <row r="311" spans="2:8" ht="11.25" customHeight="1" x14ac:dyDescent="0.2">
      <c r="B311" s="176"/>
      <c r="C311" s="156"/>
      <c r="D311" s="155" t="str">
        <f t="shared" si="21"/>
        <v/>
      </c>
      <c r="E311" s="155" t="str">
        <f t="shared" si="22"/>
        <v/>
      </c>
      <c r="F311" s="180"/>
      <c r="G311" s="155" t="str">
        <f t="shared" si="23"/>
        <v/>
      </c>
      <c r="H311" s="155" t="str">
        <f t="shared" si="24"/>
        <v/>
      </c>
    </row>
    <row r="312" spans="2:8" ht="11.25" customHeight="1" x14ac:dyDescent="0.2">
      <c r="B312" s="176"/>
      <c r="C312" s="156"/>
      <c r="D312" s="155" t="str">
        <f t="shared" si="21"/>
        <v/>
      </c>
      <c r="E312" s="155" t="str">
        <f t="shared" si="22"/>
        <v/>
      </c>
      <c r="F312" s="180"/>
      <c r="G312" s="155" t="str">
        <f t="shared" si="23"/>
        <v/>
      </c>
      <c r="H312" s="155" t="str">
        <f t="shared" si="24"/>
        <v/>
      </c>
    </row>
    <row r="313" spans="2:8" ht="11.25" customHeight="1" x14ac:dyDescent="0.2">
      <c r="B313" s="176"/>
      <c r="C313" s="156"/>
      <c r="D313" s="155" t="str">
        <f t="shared" si="21"/>
        <v/>
      </c>
      <c r="E313" s="155" t="str">
        <f t="shared" si="22"/>
        <v/>
      </c>
      <c r="F313" s="180"/>
      <c r="G313" s="155" t="str">
        <f t="shared" si="23"/>
        <v/>
      </c>
      <c r="H313" s="155" t="str">
        <f t="shared" si="24"/>
        <v/>
      </c>
    </row>
    <row r="314" spans="2:8" ht="11.25" customHeight="1" x14ac:dyDescent="0.2">
      <c r="B314" s="176"/>
      <c r="C314" s="156"/>
      <c r="D314" s="155" t="str">
        <f t="shared" si="21"/>
        <v/>
      </c>
      <c r="E314" s="155" t="str">
        <f t="shared" si="22"/>
        <v/>
      </c>
      <c r="F314" s="180"/>
      <c r="G314" s="155" t="str">
        <f t="shared" si="23"/>
        <v/>
      </c>
      <c r="H314" s="155" t="str">
        <f t="shared" si="24"/>
        <v/>
      </c>
    </row>
    <row r="315" spans="2:8" ht="11.25" customHeight="1" x14ac:dyDescent="0.2">
      <c r="B315" s="176"/>
      <c r="C315" s="156"/>
      <c r="D315" s="155" t="str">
        <f t="shared" si="21"/>
        <v/>
      </c>
      <c r="E315" s="155" t="str">
        <f t="shared" si="22"/>
        <v/>
      </c>
      <c r="F315" s="180"/>
      <c r="G315" s="155" t="str">
        <f t="shared" si="23"/>
        <v/>
      </c>
      <c r="H315" s="155" t="str">
        <f t="shared" si="24"/>
        <v/>
      </c>
    </row>
    <row r="316" spans="2:8" ht="11.25" customHeight="1" x14ac:dyDescent="0.2">
      <c r="B316" s="176"/>
      <c r="C316" s="156"/>
      <c r="D316" s="155" t="str">
        <f t="shared" si="21"/>
        <v/>
      </c>
      <c r="E316" s="155" t="str">
        <f t="shared" si="22"/>
        <v/>
      </c>
      <c r="F316" s="180"/>
      <c r="G316" s="155" t="str">
        <f t="shared" si="23"/>
        <v/>
      </c>
      <c r="H316" s="155" t="str">
        <f t="shared" si="24"/>
        <v/>
      </c>
    </row>
    <row r="317" spans="2:8" ht="11.25" customHeight="1" x14ac:dyDescent="0.2">
      <c r="B317" s="176"/>
      <c r="C317" s="156"/>
      <c r="D317" s="155" t="str">
        <f t="shared" si="21"/>
        <v/>
      </c>
      <c r="E317" s="155" t="str">
        <f t="shared" si="22"/>
        <v/>
      </c>
      <c r="F317" s="180"/>
      <c r="G317" s="155" t="str">
        <f t="shared" si="23"/>
        <v/>
      </c>
      <c r="H317" s="155" t="str">
        <f t="shared" si="24"/>
        <v/>
      </c>
    </row>
    <row r="318" spans="2:8" ht="11.25" customHeight="1" x14ac:dyDescent="0.2">
      <c r="B318" s="176"/>
      <c r="C318" s="156"/>
      <c r="D318" s="155" t="str">
        <f t="shared" si="21"/>
        <v/>
      </c>
      <c r="E318" s="155" t="str">
        <f t="shared" si="22"/>
        <v/>
      </c>
      <c r="F318" s="180"/>
      <c r="G318" s="155" t="str">
        <f t="shared" si="23"/>
        <v/>
      </c>
      <c r="H318" s="155" t="str">
        <f t="shared" si="24"/>
        <v/>
      </c>
    </row>
    <row r="319" spans="2:8" ht="11.25" customHeight="1" x14ac:dyDescent="0.2">
      <c r="B319" s="176"/>
      <c r="C319" s="156"/>
      <c r="D319" s="155" t="str">
        <f t="shared" si="21"/>
        <v/>
      </c>
      <c r="E319" s="155" t="str">
        <f t="shared" si="22"/>
        <v/>
      </c>
      <c r="F319" s="180"/>
      <c r="G319" s="155" t="str">
        <f t="shared" si="23"/>
        <v/>
      </c>
      <c r="H319" s="155" t="str">
        <f t="shared" si="24"/>
        <v/>
      </c>
    </row>
    <row r="320" spans="2:8" ht="11.25" customHeight="1" x14ac:dyDescent="0.2">
      <c r="B320" s="176"/>
      <c r="C320" s="156"/>
      <c r="D320" s="155" t="str">
        <f t="shared" si="21"/>
        <v/>
      </c>
      <c r="E320" s="155" t="str">
        <f t="shared" si="22"/>
        <v/>
      </c>
      <c r="F320" s="180"/>
      <c r="G320" s="155" t="str">
        <f t="shared" si="23"/>
        <v/>
      </c>
      <c r="H320" s="155" t="str">
        <f t="shared" si="24"/>
        <v/>
      </c>
    </row>
    <row r="321" spans="1:8" ht="11.25" customHeight="1" x14ac:dyDescent="0.2">
      <c r="B321" s="176"/>
      <c r="C321" s="156"/>
      <c r="D321" s="155" t="str">
        <f t="shared" si="21"/>
        <v/>
      </c>
      <c r="E321" s="155" t="str">
        <f t="shared" si="22"/>
        <v/>
      </c>
      <c r="F321" s="180"/>
      <c r="G321" s="155" t="str">
        <f t="shared" si="23"/>
        <v/>
      </c>
      <c r="H321" s="155" t="str">
        <f t="shared" si="24"/>
        <v/>
      </c>
    </row>
    <row r="322" spans="1:8" ht="11.25" customHeight="1" x14ac:dyDescent="0.2">
      <c r="B322" s="176"/>
      <c r="C322" s="156"/>
      <c r="D322" s="155" t="str">
        <f t="shared" si="21"/>
        <v/>
      </c>
      <c r="E322" s="155" t="str">
        <f t="shared" si="22"/>
        <v/>
      </c>
      <c r="F322" s="180"/>
      <c r="G322" s="155" t="str">
        <f t="shared" si="23"/>
        <v/>
      </c>
      <c r="H322" s="155" t="str">
        <f t="shared" si="24"/>
        <v/>
      </c>
    </row>
    <row r="323" spans="1:8" ht="11.25" customHeight="1" x14ac:dyDescent="0.2">
      <c r="B323" s="176"/>
      <c r="C323" s="156"/>
      <c r="D323" s="155" t="str">
        <f t="shared" si="21"/>
        <v/>
      </c>
      <c r="E323" s="155" t="str">
        <f t="shared" si="22"/>
        <v/>
      </c>
      <c r="F323" s="180"/>
      <c r="G323" s="155" t="str">
        <f t="shared" si="23"/>
        <v/>
      </c>
      <c r="H323" s="155" t="str">
        <f t="shared" si="24"/>
        <v/>
      </c>
    </row>
    <row r="324" spans="1:8" ht="11.25" customHeight="1" x14ac:dyDescent="0.2">
      <c r="B324" s="176"/>
      <c r="C324" s="156"/>
      <c r="D324" s="155" t="str">
        <f t="shared" si="21"/>
        <v/>
      </c>
      <c r="E324" s="155" t="str">
        <f t="shared" si="22"/>
        <v/>
      </c>
      <c r="F324" s="180"/>
      <c r="G324" s="155" t="str">
        <f t="shared" si="23"/>
        <v/>
      </c>
      <c r="H324" s="155" t="str">
        <f t="shared" si="24"/>
        <v/>
      </c>
    </row>
    <row r="325" spans="1:8" ht="11.25" customHeight="1" x14ac:dyDescent="0.2">
      <c r="B325" s="176"/>
      <c r="C325" s="156"/>
      <c r="D325" s="155" t="str">
        <f t="shared" si="21"/>
        <v/>
      </c>
      <c r="E325" s="155" t="str">
        <f t="shared" si="22"/>
        <v/>
      </c>
      <c r="F325" s="180"/>
      <c r="G325" s="155" t="str">
        <f t="shared" si="23"/>
        <v/>
      </c>
      <c r="H325" s="155" t="str">
        <f t="shared" si="24"/>
        <v/>
      </c>
    </row>
    <row r="326" spans="1:8" ht="11.25" customHeight="1" x14ac:dyDescent="0.2">
      <c r="B326" s="176"/>
      <c r="C326" s="156"/>
      <c r="D326" s="155" t="str">
        <f t="shared" si="21"/>
        <v/>
      </c>
      <c r="E326" s="155" t="str">
        <f t="shared" si="22"/>
        <v/>
      </c>
      <c r="F326" s="180"/>
      <c r="G326" s="155" t="str">
        <f t="shared" si="23"/>
        <v/>
      </c>
      <c r="H326" s="155" t="str">
        <f t="shared" si="24"/>
        <v/>
      </c>
    </row>
    <row r="327" spans="1:8" ht="11.25" customHeight="1" x14ac:dyDescent="0.2">
      <c r="B327" s="176"/>
      <c r="C327" s="156"/>
      <c r="D327" s="155" t="str">
        <f t="shared" si="21"/>
        <v/>
      </c>
      <c r="E327" s="155" t="str">
        <f t="shared" si="22"/>
        <v/>
      </c>
      <c r="F327" s="180"/>
      <c r="G327" s="155" t="str">
        <f t="shared" si="23"/>
        <v/>
      </c>
      <c r="H327" s="155" t="str">
        <f t="shared" si="24"/>
        <v/>
      </c>
    </row>
    <row r="328" spans="1:8" ht="12" customHeight="1" thickBot="1" x14ac:dyDescent="0.25">
      <c r="B328" s="284"/>
      <c r="C328" s="285"/>
      <c r="D328" s="309" t="str">
        <f t="shared" si="21"/>
        <v/>
      </c>
      <c r="E328" s="309" t="str">
        <f t="shared" si="22"/>
        <v/>
      </c>
      <c r="F328" s="327"/>
      <c r="G328" s="309" t="str">
        <f t="shared" si="23"/>
        <v/>
      </c>
      <c r="H328" s="155" t="str">
        <f t="shared" si="24"/>
        <v/>
      </c>
    </row>
    <row r="329" spans="1:8" ht="12.75" customHeight="1" thickBot="1" x14ac:dyDescent="0.25">
      <c r="A329" s="159"/>
      <c r="B329" s="287" t="s">
        <v>831</v>
      </c>
      <c r="C329" s="288"/>
      <c r="D329" s="289"/>
      <c r="E329" s="290" t="e">
        <f>SUM(E290:E328)</f>
        <v>#VALUE!</v>
      </c>
      <c r="F329" s="291" t="s">
        <v>831</v>
      </c>
      <c r="G329" s="288"/>
      <c r="H329" s="292">
        <f>SUM(H290:H328)</f>
        <v>0</v>
      </c>
    </row>
    <row r="330" spans="1:8" ht="12.75" customHeight="1" thickBot="1" x14ac:dyDescent="0.25">
      <c r="A330" s="159"/>
      <c r="B330" s="287" t="s">
        <v>832</v>
      </c>
      <c r="C330" s="288"/>
      <c r="D330" s="293"/>
      <c r="E330" s="292" t="e">
        <f>E329*10/100</f>
        <v>#VALUE!</v>
      </c>
      <c r="F330" s="294" t="s">
        <v>832</v>
      </c>
      <c r="G330" s="295"/>
      <c r="H330" s="292">
        <f>H329*10/100</f>
        <v>0</v>
      </c>
    </row>
    <row r="331" spans="1:8" ht="12.75" customHeight="1" thickBot="1" x14ac:dyDescent="0.25">
      <c r="A331" s="159"/>
      <c r="B331" s="287" t="s">
        <v>24</v>
      </c>
      <c r="C331" s="288"/>
      <c r="D331" s="288"/>
      <c r="E331" s="154" t="e">
        <f>E329+E330</f>
        <v>#VALUE!</v>
      </c>
      <c r="F331" s="291" t="s">
        <v>24</v>
      </c>
      <c r="G331" s="295"/>
      <c r="H331" s="292">
        <f>H329+H330</f>
        <v>0</v>
      </c>
    </row>
    <row r="332" spans="1:8" ht="12.75" customHeight="1" thickBot="1" x14ac:dyDescent="0.25">
      <c r="B332" s="291" t="s">
        <v>10</v>
      </c>
      <c r="C332" s="288"/>
      <c r="D332" s="288"/>
      <c r="E332" s="328">
        <v>105</v>
      </c>
      <c r="F332" s="291" t="s">
        <v>10</v>
      </c>
      <c r="G332" s="288"/>
      <c r="H332" s="297"/>
    </row>
    <row r="333" spans="1:8" ht="12.75" customHeight="1" thickBot="1" x14ac:dyDescent="0.25">
      <c r="B333" s="298" t="s">
        <v>1261</v>
      </c>
      <c r="C333" s="288"/>
      <c r="D333" s="288"/>
      <c r="E333" s="292" t="e">
        <f>E331/E332</f>
        <v>#VALUE!</v>
      </c>
      <c r="F333" s="291" t="s">
        <v>1261</v>
      </c>
      <c r="G333" s="288"/>
      <c r="H333" s="292" t="e">
        <f>H331/H332</f>
        <v>#DIV/0!</v>
      </c>
    </row>
    <row r="334" spans="1:8" ht="12" customHeight="1" thickBot="1" x14ac:dyDescent="0.25">
      <c r="B334" s="283"/>
      <c r="C334" s="315" t="s">
        <v>1751</v>
      </c>
      <c r="D334" s="316"/>
      <c r="E334" s="316"/>
      <c r="F334" s="316"/>
      <c r="G334" s="316"/>
      <c r="H334" s="318"/>
    </row>
    <row r="335" spans="1:8" ht="12" customHeight="1" thickBot="1" x14ac:dyDescent="0.25">
      <c r="B335" s="283" t="s">
        <v>1268</v>
      </c>
      <c r="C335" s="302"/>
      <c r="D335" s="303"/>
      <c r="E335" s="303"/>
      <c r="F335" s="303"/>
      <c r="G335" s="303"/>
      <c r="H335" s="304"/>
    </row>
    <row r="336" spans="1:8" ht="12" customHeight="1" thickBot="1" x14ac:dyDescent="0.25">
      <c r="B336" s="283" t="s">
        <v>1269</v>
      </c>
      <c r="C336" s="302"/>
      <c r="D336" s="303"/>
      <c r="E336" s="303"/>
      <c r="F336" s="303"/>
      <c r="G336" s="303"/>
      <c r="H336" s="304"/>
    </row>
    <row r="337" spans="2:8" ht="12" customHeight="1" thickBot="1" x14ac:dyDescent="0.25">
      <c r="B337" s="283" t="s">
        <v>1270</v>
      </c>
      <c r="C337" s="302"/>
      <c r="D337" s="303"/>
      <c r="E337" s="303"/>
      <c r="F337" s="303"/>
      <c r="G337" s="303"/>
      <c r="H337" s="304"/>
    </row>
    <row r="338" spans="2:8" ht="12" customHeight="1" thickBot="1" x14ac:dyDescent="0.25">
      <c r="B338" s="283" t="s">
        <v>1271</v>
      </c>
      <c r="C338" s="302"/>
      <c r="D338" s="303"/>
      <c r="E338" s="303"/>
      <c r="F338" s="303"/>
      <c r="G338" s="303"/>
      <c r="H338" s="304"/>
    </row>
    <row r="339" spans="2:8" ht="12" customHeight="1" thickBot="1" x14ac:dyDescent="0.25">
      <c r="B339" s="283"/>
      <c r="C339" s="302"/>
      <c r="D339" s="303"/>
      <c r="E339" s="303"/>
      <c r="F339" s="303"/>
      <c r="G339" s="303"/>
      <c r="H339" s="304"/>
    </row>
    <row r="340" spans="2:8" ht="12" customHeight="1" thickBot="1" x14ac:dyDescent="0.25">
      <c r="B340" s="283"/>
      <c r="C340" s="302"/>
      <c r="D340" s="303"/>
      <c r="E340" s="303"/>
      <c r="F340" s="303"/>
      <c r="G340" s="303"/>
      <c r="H340" s="304"/>
    </row>
    <row r="341" spans="2:8" ht="12" customHeight="1" thickBot="1" x14ac:dyDescent="0.25">
      <c r="B341" s="283"/>
      <c r="C341" s="302"/>
      <c r="D341" s="303"/>
      <c r="E341" s="303"/>
      <c r="F341" s="303"/>
      <c r="G341" s="303"/>
      <c r="H341" s="304"/>
    </row>
    <row r="342" spans="2:8" ht="12" customHeight="1" thickBot="1" x14ac:dyDescent="0.25">
      <c r="B342" s="283"/>
      <c r="C342" s="305"/>
      <c r="D342" s="306"/>
      <c r="E342" s="306"/>
      <c r="F342" s="306"/>
      <c r="G342" s="306"/>
      <c r="H342" s="307"/>
    </row>
    <row r="343" spans="2:8" x14ac:dyDescent="0.2">
      <c r="B343" s="152"/>
      <c r="C343" s="152"/>
      <c r="D343" s="152"/>
      <c r="E343" s="152"/>
      <c r="F343" s="152"/>
      <c r="G343" s="152"/>
      <c r="H343" s="152"/>
    </row>
    <row r="344" spans="2:8" x14ac:dyDescent="0.2">
      <c r="B344" s="152"/>
      <c r="C344" s="152"/>
      <c r="D344" s="152"/>
      <c r="E344" s="152"/>
      <c r="F344" s="152"/>
      <c r="G344" s="152"/>
      <c r="H344" s="152"/>
    </row>
    <row r="345" spans="2:8" x14ac:dyDescent="0.2">
      <c r="B345" s="152"/>
      <c r="C345" s="152"/>
      <c r="D345" s="152"/>
      <c r="E345" s="152"/>
      <c r="F345" s="152"/>
      <c r="G345" s="152"/>
      <c r="H345" s="152"/>
    </row>
    <row r="346" spans="2:8" x14ac:dyDescent="0.2">
      <c r="B346" s="152"/>
      <c r="C346" s="152"/>
      <c r="D346" s="152"/>
      <c r="E346" s="152"/>
      <c r="F346" s="152"/>
      <c r="G346" s="152"/>
      <c r="H346" s="152"/>
    </row>
    <row r="347" spans="2:8" x14ac:dyDescent="0.2">
      <c r="B347" s="152"/>
      <c r="C347" s="152"/>
      <c r="D347" s="152"/>
      <c r="E347" s="152"/>
      <c r="F347" s="152"/>
      <c r="G347" s="152"/>
      <c r="H347" s="152"/>
    </row>
  </sheetData>
  <autoFilter ref="B1:B342"/>
  <mergeCells count="72">
    <mergeCell ref="C60:H60"/>
    <mergeCell ref="B5:H5"/>
    <mergeCell ref="B6:H6"/>
    <mergeCell ref="B7:E7"/>
    <mergeCell ref="F7:H7"/>
    <mergeCell ref="C53:H53"/>
    <mergeCell ref="C54:H54"/>
    <mergeCell ref="C55:H55"/>
    <mergeCell ref="C56:H56"/>
    <mergeCell ref="C57:H57"/>
    <mergeCell ref="C58:H58"/>
    <mergeCell ref="C59:H59"/>
    <mergeCell ref="C118:H118"/>
    <mergeCell ref="C61:H61"/>
    <mergeCell ref="B62:H62"/>
    <mergeCell ref="B63:E63"/>
    <mergeCell ref="F63:H63"/>
    <mergeCell ref="C111:H111"/>
    <mergeCell ref="C112:H112"/>
    <mergeCell ref="C113:H113"/>
    <mergeCell ref="C114:H114"/>
    <mergeCell ref="C115:H115"/>
    <mergeCell ref="C116:H116"/>
    <mergeCell ref="C117:H117"/>
    <mergeCell ref="C176:H176"/>
    <mergeCell ref="C119:H119"/>
    <mergeCell ref="B121:H121"/>
    <mergeCell ref="B122:E122"/>
    <mergeCell ref="F122:H122"/>
    <mergeCell ref="C169:H169"/>
    <mergeCell ref="C170:H170"/>
    <mergeCell ref="C171:H171"/>
    <mergeCell ref="C172:H172"/>
    <mergeCell ref="C173:H173"/>
    <mergeCell ref="C174:H174"/>
    <mergeCell ref="C175:H175"/>
    <mergeCell ref="C233:H233"/>
    <mergeCell ref="C177:H177"/>
    <mergeCell ref="B179:H179"/>
    <mergeCell ref="B180:E180"/>
    <mergeCell ref="F180:H180"/>
    <mergeCell ref="C226:H226"/>
    <mergeCell ref="C227:H227"/>
    <mergeCell ref="C228:H228"/>
    <mergeCell ref="C229:H229"/>
    <mergeCell ref="C230:H230"/>
    <mergeCell ref="C231:H231"/>
    <mergeCell ref="C232:H232"/>
    <mergeCell ref="C285:H285"/>
    <mergeCell ref="C234:H234"/>
    <mergeCell ref="B236:H236"/>
    <mergeCell ref="B237:E237"/>
    <mergeCell ref="F237:H237"/>
    <mergeCell ref="C277:H277"/>
    <mergeCell ref="C278:H278"/>
    <mergeCell ref="C279:H279"/>
    <mergeCell ref="C280:H280"/>
    <mergeCell ref="C282:H282"/>
    <mergeCell ref="C283:H283"/>
    <mergeCell ref="C284:H284"/>
    <mergeCell ref="C342:H342"/>
    <mergeCell ref="B287:H287"/>
    <mergeCell ref="B288:E288"/>
    <mergeCell ref="F288:H288"/>
    <mergeCell ref="C334:H334"/>
    <mergeCell ref="C335:H335"/>
    <mergeCell ref="C336:H336"/>
    <mergeCell ref="C337:H337"/>
    <mergeCell ref="C338:H338"/>
    <mergeCell ref="C339:H339"/>
    <mergeCell ref="C340:H340"/>
    <mergeCell ref="C341:H341"/>
  </mergeCells>
  <dataValidations count="1">
    <dataValidation type="list" allowBlank="1" showInputMessage="1" showErrorMessage="1" sqref="B290:B328 B239:B271 B9:B47 B65:B105 B124:B163 B182:B220">
      <formula1>ARTICULO</formula1>
    </dataValidation>
  </dataValidations>
  <pageMargins left="0.59055118110236227" right="0.74803149606299213" top="0.98425196850393704" bottom="0.98425196850393704" header="0" footer="0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42"/>
  <sheetViews>
    <sheetView showGridLines="0" topLeftCell="A325" zoomScale="85" zoomScaleNormal="85" zoomScaleSheetLayoutView="100" workbookViewId="0">
      <selection activeCell="B289" sqref="B289"/>
    </sheetView>
  </sheetViews>
  <sheetFormatPr baseColWidth="10" defaultColWidth="11.42578125" defaultRowHeight="11.25" x14ac:dyDescent="0.2"/>
  <cols>
    <col min="1" max="1" width="3.28515625" style="152" customWidth="1"/>
    <col min="2" max="2" width="35.140625" style="125" bestFit="1" customWidth="1"/>
    <col min="3" max="3" width="11.28515625" style="125" customWidth="1"/>
    <col min="4" max="4" width="15.5703125" style="125" customWidth="1"/>
    <col min="5" max="5" width="15.28515625" style="125" customWidth="1"/>
    <col min="6" max="6" width="27.42578125" style="125" customWidth="1"/>
    <col min="7" max="7" width="11.42578125" style="125"/>
    <col min="8" max="8" width="21.28515625" style="125" customWidth="1"/>
    <col min="9" max="20" width="11.42578125" style="152"/>
    <col min="21" max="16384" width="11.42578125" style="125"/>
  </cols>
  <sheetData>
    <row r="1" spans="1:20" ht="12" customHeight="1" x14ac:dyDescent="0.2">
      <c r="B1" s="152"/>
      <c r="C1" s="329"/>
      <c r="D1" s="152"/>
      <c r="E1" s="152"/>
      <c r="F1" s="152"/>
      <c r="G1" s="152"/>
      <c r="H1" s="152"/>
    </row>
    <row r="2" spans="1:20" ht="15.75" customHeight="1" x14ac:dyDescent="0.25">
      <c r="B2" s="330"/>
      <c r="C2" s="329"/>
      <c r="D2" s="152"/>
      <c r="E2" s="152"/>
      <c r="F2" s="152"/>
      <c r="G2" s="152"/>
      <c r="H2" s="152"/>
    </row>
    <row r="3" spans="1:20" ht="11.25" customHeight="1" x14ac:dyDescent="0.2">
      <c r="A3" s="158"/>
      <c r="B3" s="152"/>
      <c r="C3" s="152"/>
      <c r="D3" s="152"/>
      <c r="E3" s="152"/>
      <c r="F3" s="152"/>
      <c r="G3" s="152"/>
      <c r="H3" s="152"/>
    </row>
    <row r="4" spans="1:20" ht="15.75" customHeight="1" x14ac:dyDescent="0.25">
      <c r="B4" s="331"/>
      <c r="C4" s="152"/>
      <c r="D4" s="152"/>
      <c r="E4" s="152"/>
      <c r="F4" s="152"/>
      <c r="G4" s="152"/>
      <c r="H4" s="152"/>
    </row>
    <row r="5" spans="1:20" s="124" customFormat="1" ht="12" customHeight="1" thickBot="1" x14ac:dyDescent="0.25">
      <c r="A5" s="157"/>
      <c r="B5" s="332"/>
      <c r="C5" s="332"/>
      <c r="D5" s="332"/>
      <c r="E5" s="332"/>
      <c r="F5" s="332"/>
      <c r="G5" s="332"/>
      <c r="H5" s="332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</row>
    <row r="6" spans="1:20" ht="21.75" customHeight="1" thickBot="1" x14ac:dyDescent="0.4">
      <c r="B6" s="277" t="s">
        <v>1888</v>
      </c>
      <c r="C6" s="278"/>
      <c r="D6" s="278"/>
      <c r="E6" s="278"/>
      <c r="F6" s="278"/>
      <c r="G6" s="278"/>
      <c r="H6" s="279"/>
    </row>
    <row r="7" spans="1:20" ht="12" customHeight="1" thickBot="1" x14ac:dyDescent="0.25">
      <c r="B7" s="280" t="s">
        <v>1891</v>
      </c>
      <c r="C7" s="281"/>
      <c r="D7" s="281"/>
      <c r="E7" s="282"/>
      <c r="F7" s="280" t="s">
        <v>1890</v>
      </c>
      <c r="G7" s="281"/>
      <c r="H7" s="282"/>
    </row>
    <row r="8" spans="1:20" ht="12" customHeight="1" thickBot="1" x14ac:dyDescent="0.25">
      <c r="B8" s="283" t="s">
        <v>1896</v>
      </c>
      <c r="C8" s="283" t="s">
        <v>20</v>
      </c>
      <c r="D8" s="283" t="s">
        <v>21</v>
      </c>
      <c r="E8" s="283" t="s">
        <v>22</v>
      </c>
      <c r="F8" s="283" t="s">
        <v>20</v>
      </c>
      <c r="G8" s="283" t="s">
        <v>21</v>
      </c>
      <c r="H8" s="283" t="s">
        <v>22</v>
      </c>
    </row>
    <row r="9" spans="1:20" s="152" customFormat="1" ht="11.25" customHeight="1" x14ac:dyDescent="0.2">
      <c r="B9" s="176" t="s">
        <v>1680</v>
      </c>
      <c r="C9" s="160">
        <v>1000</v>
      </c>
      <c r="D9" s="154">
        <f t="shared" ref="D9:D47" si="0">IF(B9="","",VLOOKUP(B9,INVENTARIO,2))</f>
        <v>1.5</v>
      </c>
      <c r="E9" s="154">
        <f>IF(C9=0,"",C9*D9)</f>
        <v>1500</v>
      </c>
      <c r="F9" s="179">
        <v>75</v>
      </c>
      <c r="G9" s="154">
        <f>D9</f>
        <v>1.5</v>
      </c>
      <c r="H9" s="155">
        <f>IF(F9=0,"",F9*G9)</f>
        <v>112.5</v>
      </c>
    </row>
    <row r="10" spans="1:20" s="152" customFormat="1" ht="11.25" customHeight="1" x14ac:dyDescent="0.2">
      <c r="B10" s="176" t="s">
        <v>1702</v>
      </c>
      <c r="C10" s="161">
        <v>400</v>
      </c>
      <c r="D10" s="155">
        <f t="shared" si="0"/>
        <v>1.4999999999999999E-2</v>
      </c>
      <c r="E10" s="155">
        <f t="shared" ref="E10:E47" si="1">IF(C10=0,"",C10*D10)</f>
        <v>6</v>
      </c>
      <c r="F10" s="180">
        <v>1000</v>
      </c>
      <c r="G10" s="155">
        <f t="shared" ref="G10:G47" si="2">D10</f>
        <v>1.4999999999999999E-2</v>
      </c>
      <c r="H10" s="155">
        <f t="shared" ref="H10:H47" si="3">IF(F10=0,"",F10*G10)</f>
        <v>15</v>
      </c>
    </row>
    <row r="11" spans="1:20" s="152" customFormat="1" ht="11.25" customHeight="1" x14ac:dyDescent="0.2">
      <c r="B11" s="176" t="s">
        <v>1745</v>
      </c>
      <c r="C11" s="161">
        <v>1500</v>
      </c>
      <c r="D11" s="155">
        <f t="shared" si="0"/>
        <v>0.01</v>
      </c>
      <c r="E11" s="155">
        <f t="shared" si="1"/>
        <v>15</v>
      </c>
      <c r="F11" s="180">
        <v>1500</v>
      </c>
      <c r="G11" s="155">
        <f t="shared" si="2"/>
        <v>0.01</v>
      </c>
      <c r="H11" s="155">
        <f t="shared" si="3"/>
        <v>15</v>
      </c>
    </row>
    <row r="12" spans="1:20" s="152" customFormat="1" ht="11.25" customHeight="1" thickBot="1" x14ac:dyDescent="0.25">
      <c r="B12" s="176" t="s">
        <v>1796</v>
      </c>
      <c r="C12" s="161">
        <v>1500</v>
      </c>
      <c r="D12" s="155">
        <f t="shared" si="0"/>
        <v>1.4999999999999999E-2</v>
      </c>
      <c r="E12" s="155">
        <f t="shared" si="1"/>
        <v>22.5</v>
      </c>
      <c r="F12" s="180">
        <v>1000</v>
      </c>
      <c r="G12" s="155">
        <f t="shared" si="2"/>
        <v>1.4999999999999999E-2</v>
      </c>
      <c r="H12" s="155">
        <f t="shared" si="3"/>
        <v>15</v>
      </c>
    </row>
    <row r="13" spans="1:20" s="152" customFormat="1" ht="11.25" customHeight="1" thickBot="1" x14ac:dyDescent="0.25">
      <c r="B13" s="175" t="s">
        <v>1670</v>
      </c>
      <c r="C13" s="161">
        <v>1500</v>
      </c>
      <c r="D13" s="155">
        <f t="shared" si="0"/>
        <v>4.5090000000000005E-2</v>
      </c>
      <c r="E13" s="155">
        <f t="shared" si="1"/>
        <v>67.635000000000005</v>
      </c>
      <c r="F13" s="180">
        <v>3000</v>
      </c>
      <c r="G13" s="155">
        <f t="shared" si="2"/>
        <v>4.5090000000000005E-2</v>
      </c>
      <c r="H13" s="155">
        <f t="shared" si="3"/>
        <v>135.27000000000001</v>
      </c>
    </row>
    <row r="14" spans="1:20" s="152" customFormat="1" ht="11.25" customHeight="1" x14ac:dyDescent="0.2">
      <c r="B14" s="175" t="s">
        <v>1777</v>
      </c>
      <c r="C14" s="156"/>
      <c r="D14" s="155">
        <f t="shared" si="0"/>
        <v>20.189166666666669</v>
      </c>
      <c r="E14" s="155" t="str">
        <f t="shared" si="1"/>
        <v/>
      </c>
      <c r="F14" s="181">
        <v>2</v>
      </c>
      <c r="G14" s="155">
        <f t="shared" si="2"/>
        <v>20.189166666666669</v>
      </c>
      <c r="H14" s="155">
        <f t="shared" si="3"/>
        <v>40.378333333333337</v>
      </c>
    </row>
    <row r="15" spans="1:20" s="152" customFormat="1" ht="11.25" customHeight="1" x14ac:dyDescent="0.2">
      <c r="B15" s="176" t="s">
        <v>1675</v>
      </c>
      <c r="C15" s="156"/>
      <c r="D15" s="155">
        <f t="shared" si="0"/>
        <v>2.8000000000000001E-2</v>
      </c>
      <c r="E15" s="155" t="str">
        <f t="shared" si="1"/>
        <v/>
      </c>
      <c r="F15" s="181">
        <v>2000</v>
      </c>
      <c r="G15" s="155">
        <f t="shared" si="2"/>
        <v>2.8000000000000001E-2</v>
      </c>
      <c r="H15" s="155">
        <f t="shared" si="3"/>
        <v>56</v>
      </c>
    </row>
    <row r="16" spans="1:20" s="152" customFormat="1" ht="11.25" customHeight="1" x14ac:dyDescent="0.2">
      <c r="B16" s="176" t="s">
        <v>1678</v>
      </c>
      <c r="C16" s="156"/>
      <c r="D16" s="155">
        <f t="shared" si="0"/>
        <v>4.9000000000000007E-3</v>
      </c>
      <c r="E16" s="155" t="str">
        <f t="shared" si="1"/>
        <v/>
      </c>
      <c r="F16" s="181">
        <v>2000</v>
      </c>
      <c r="G16" s="155">
        <f t="shared" si="2"/>
        <v>4.9000000000000007E-3</v>
      </c>
      <c r="H16" s="155">
        <f t="shared" si="3"/>
        <v>9.8000000000000007</v>
      </c>
    </row>
    <row r="17" spans="2:8" s="152" customFormat="1" x14ac:dyDescent="0.2">
      <c r="B17" s="176" t="s">
        <v>1787</v>
      </c>
      <c r="C17" s="156"/>
      <c r="D17" s="155">
        <f t="shared" si="0"/>
        <v>17.690000000000001</v>
      </c>
      <c r="E17" s="155" t="str">
        <f t="shared" si="1"/>
        <v/>
      </c>
      <c r="F17" s="181">
        <v>3</v>
      </c>
      <c r="G17" s="155">
        <f t="shared" si="2"/>
        <v>17.690000000000001</v>
      </c>
      <c r="H17" s="155">
        <f t="shared" si="3"/>
        <v>53.070000000000007</v>
      </c>
    </row>
    <row r="18" spans="2:8" s="152" customFormat="1" ht="11.25" customHeight="1" x14ac:dyDescent="0.2">
      <c r="B18" s="176" t="s">
        <v>1676</v>
      </c>
      <c r="C18" s="156"/>
      <c r="D18" s="155">
        <f t="shared" si="0"/>
        <v>3.7945E-2</v>
      </c>
      <c r="E18" s="155" t="str">
        <f t="shared" si="1"/>
        <v/>
      </c>
      <c r="F18" s="181">
        <v>500</v>
      </c>
      <c r="G18" s="155">
        <f t="shared" si="2"/>
        <v>3.7945E-2</v>
      </c>
      <c r="H18" s="155">
        <f t="shared" si="3"/>
        <v>18.9725</v>
      </c>
    </row>
    <row r="19" spans="2:8" s="152" customFormat="1" ht="11.25" customHeight="1" x14ac:dyDescent="0.2">
      <c r="B19" s="176" t="s">
        <v>1677</v>
      </c>
      <c r="C19" s="156"/>
      <c r="D19" s="155">
        <f t="shared" si="0"/>
        <v>8.2874999999999997E-3</v>
      </c>
      <c r="E19" s="155" t="str">
        <f t="shared" si="1"/>
        <v/>
      </c>
      <c r="F19" s="181">
        <v>800</v>
      </c>
      <c r="G19" s="155">
        <f t="shared" si="2"/>
        <v>8.2874999999999997E-3</v>
      </c>
      <c r="H19" s="155">
        <f t="shared" si="3"/>
        <v>6.63</v>
      </c>
    </row>
    <row r="20" spans="2:8" s="152" customFormat="1" ht="11.25" customHeight="1" x14ac:dyDescent="0.2">
      <c r="B20" s="176"/>
      <c r="C20" s="156"/>
      <c r="D20" s="155" t="str">
        <f t="shared" si="0"/>
        <v/>
      </c>
      <c r="E20" s="155" t="str">
        <f t="shared" si="1"/>
        <v/>
      </c>
      <c r="F20" s="181"/>
      <c r="G20" s="155" t="str">
        <f t="shared" si="2"/>
        <v/>
      </c>
      <c r="H20" s="155" t="str">
        <f t="shared" si="3"/>
        <v/>
      </c>
    </row>
    <row r="21" spans="2:8" s="152" customFormat="1" ht="11.25" customHeight="1" x14ac:dyDescent="0.2">
      <c r="B21" s="176"/>
      <c r="C21" s="156"/>
      <c r="D21" s="155" t="str">
        <f t="shared" si="0"/>
        <v/>
      </c>
      <c r="E21" s="155" t="str">
        <f t="shared" si="1"/>
        <v/>
      </c>
      <c r="F21" s="181"/>
      <c r="G21" s="155" t="str">
        <f t="shared" si="2"/>
        <v/>
      </c>
      <c r="H21" s="155" t="str">
        <f t="shared" si="3"/>
        <v/>
      </c>
    </row>
    <row r="22" spans="2:8" s="152" customFormat="1" ht="11.25" customHeight="1" x14ac:dyDescent="0.2">
      <c r="B22" s="176"/>
      <c r="C22" s="156"/>
      <c r="D22" s="155" t="str">
        <f t="shared" si="0"/>
        <v/>
      </c>
      <c r="E22" s="155" t="str">
        <f t="shared" si="1"/>
        <v/>
      </c>
      <c r="F22" s="181"/>
      <c r="G22" s="155" t="str">
        <f t="shared" si="2"/>
        <v/>
      </c>
      <c r="H22" s="155" t="str">
        <f t="shared" si="3"/>
        <v/>
      </c>
    </row>
    <row r="23" spans="2:8" s="152" customFormat="1" ht="11.25" customHeight="1" x14ac:dyDescent="0.2">
      <c r="B23" s="176"/>
      <c r="C23" s="156"/>
      <c r="D23" s="155" t="str">
        <f t="shared" si="0"/>
        <v/>
      </c>
      <c r="E23" s="155" t="str">
        <f t="shared" si="1"/>
        <v/>
      </c>
      <c r="F23" s="181"/>
      <c r="G23" s="155" t="str">
        <f t="shared" si="2"/>
        <v/>
      </c>
      <c r="H23" s="155"/>
    </row>
    <row r="24" spans="2:8" s="152" customFormat="1" ht="11.25" customHeight="1" x14ac:dyDescent="0.2">
      <c r="B24" s="176"/>
      <c r="C24" s="156"/>
      <c r="D24" s="155" t="str">
        <f t="shared" si="0"/>
        <v/>
      </c>
      <c r="E24" s="155" t="str">
        <f t="shared" si="1"/>
        <v/>
      </c>
      <c r="F24" s="181"/>
      <c r="G24" s="155" t="str">
        <f t="shared" si="2"/>
        <v/>
      </c>
      <c r="H24" s="155"/>
    </row>
    <row r="25" spans="2:8" s="152" customFormat="1" ht="11.25" customHeight="1" x14ac:dyDescent="0.2">
      <c r="B25" s="176"/>
      <c r="C25" s="156"/>
      <c r="D25" s="155" t="str">
        <f t="shared" si="0"/>
        <v/>
      </c>
      <c r="E25" s="155" t="str">
        <f t="shared" si="1"/>
        <v/>
      </c>
      <c r="F25" s="181"/>
      <c r="G25" s="155" t="str">
        <f t="shared" si="2"/>
        <v/>
      </c>
      <c r="H25" s="155"/>
    </row>
    <row r="26" spans="2:8" s="152" customFormat="1" ht="11.25" customHeight="1" x14ac:dyDescent="0.2">
      <c r="B26" s="176"/>
      <c r="C26" s="156"/>
      <c r="D26" s="155" t="str">
        <f t="shared" si="0"/>
        <v/>
      </c>
      <c r="E26" s="155" t="str">
        <f t="shared" si="1"/>
        <v/>
      </c>
      <c r="F26" s="181"/>
      <c r="G26" s="155" t="str">
        <f t="shared" si="2"/>
        <v/>
      </c>
      <c r="H26" s="155"/>
    </row>
    <row r="27" spans="2:8" s="152" customFormat="1" ht="11.25" customHeight="1" x14ac:dyDescent="0.2">
      <c r="B27" s="176"/>
      <c r="C27" s="156"/>
      <c r="D27" s="155" t="str">
        <f t="shared" si="0"/>
        <v/>
      </c>
      <c r="E27" s="155" t="str">
        <f t="shared" si="1"/>
        <v/>
      </c>
      <c r="F27" s="181"/>
      <c r="G27" s="155" t="str">
        <f t="shared" si="2"/>
        <v/>
      </c>
      <c r="H27" s="155"/>
    </row>
    <row r="28" spans="2:8" s="152" customFormat="1" ht="11.25" customHeight="1" x14ac:dyDescent="0.2">
      <c r="B28" s="176"/>
      <c r="C28" s="156"/>
      <c r="D28" s="155" t="str">
        <f t="shared" si="0"/>
        <v/>
      </c>
      <c r="E28" s="155" t="str">
        <f t="shared" si="1"/>
        <v/>
      </c>
      <c r="F28" s="181"/>
      <c r="G28" s="155" t="str">
        <f t="shared" si="2"/>
        <v/>
      </c>
      <c r="H28" s="155"/>
    </row>
    <row r="29" spans="2:8" s="152" customFormat="1" ht="11.25" customHeight="1" x14ac:dyDescent="0.2">
      <c r="B29" s="176"/>
      <c r="C29" s="156"/>
      <c r="D29" s="155" t="str">
        <f t="shared" si="0"/>
        <v/>
      </c>
      <c r="E29" s="155" t="str">
        <f t="shared" si="1"/>
        <v/>
      </c>
      <c r="F29" s="181"/>
      <c r="G29" s="155" t="str">
        <f t="shared" si="2"/>
        <v/>
      </c>
      <c r="H29" s="155"/>
    </row>
    <row r="30" spans="2:8" s="152" customFormat="1" ht="11.25" customHeight="1" x14ac:dyDescent="0.2">
      <c r="B30" s="176"/>
      <c r="C30" s="156"/>
      <c r="D30" s="155" t="str">
        <f t="shared" si="0"/>
        <v/>
      </c>
      <c r="E30" s="155" t="str">
        <f t="shared" si="1"/>
        <v/>
      </c>
      <c r="F30" s="181"/>
      <c r="G30" s="155" t="str">
        <f t="shared" si="2"/>
        <v/>
      </c>
      <c r="H30" s="155"/>
    </row>
    <row r="31" spans="2:8" s="152" customFormat="1" ht="11.25" customHeight="1" x14ac:dyDescent="0.2">
      <c r="B31" s="176"/>
      <c r="C31" s="156"/>
      <c r="D31" s="155" t="str">
        <f t="shared" si="0"/>
        <v/>
      </c>
      <c r="E31" s="155" t="str">
        <f t="shared" si="1"/>
        <v/>
      </c>
      <c r="F31" s="181"/>
      <c r="G31" s="155" t="str">
        <f t="shared" si="2"/>
        <v/>
      </c>
      <c r="H31" s="155"/>
    </row>
    <row r="32" spans="2:8" s="152" customFormat="1" ht="11.25" customHeight="1" x14ac:dyDescent="0.2">
      <c r="B32" s="176"/>
      <c r="C32" s="156"/>
      <c r="D32" s="155" t="str">
        <f t="shared" si="0"/>
        <v/>
      </c>
      <c r="E32" s="155" t="str">
        <f t="shared" si="1"/>
        <v/>
      </c>
      <c r="F32" s="181"/>
      <c r="G32" s="155" t="str">
        <f t="shared" si="2"/>
        <v/>
      </c>
      <c r="H32" s="155" t="str">
        <f t="shared" si="3"/>
        <v/>
      </c>
    </row>
    <row r="33" spans="1:8" s="152" customFormat="1" ht="11.25" customHeight="1" x14ac:dyDescent="0.2">
      <c r="B33" s="176"/>
      <c r="C33" s="156"/>
      <c r="D33" s="155" t="str">
        <f t="shared" si="0"/>
        <v/>
      </c>
      <c r="E33" s="155" t="str">
        <f t="shared" si="1"/>
        <v/>
      </c>
      <c r="F33" s="181"/>
      <c r="G33" s="155" t="str">
        <f t="shared" si="2"/>
        <v/>
      </c>
      <c r="H33" s="155" t="str">
        <f t="shared" si="3"/>
        <v/>
      </c>
    </row>
    <row r="34" spans="1:8" s="152" customFormat="1" ht="11.25" customHeight="1" x14ac:dyDescent="0.2">
      <c r="B34" s="176"/>
      <c r="C34" s="156"/>
      <c r="D34" s="155" t="str">
        <f t="shared" si="0"/>
        <v/>
      </c>
      <c r="E34" s="155" t="str">
        <f t="shared" si="1"/>
        <v/>
      </c>
      <c r="F34" s="181"/>
      <c r="G34" s="155" t="str">
        <f t="shared" si="2"/>
        <v/>
      </c>
      <c r="H34" s="155" t="str">
        <f t="shared" si="3"/>
        <v/>
      </c>
    </row>
    <row r="35" spans="1:8" s="152" customFormat="1" ht="11.25" customHeight="1" x14ac:dyDescent="0.2">
      <c r="B35" s="176"/>
      <c r="C35" s="156"/>
      <c r="D35" s="155" t="str">
        <f t="shared" si="0"/>
        <v/>
      </c>
      <c r="E35" s="155" t="str">
        <f t="shared" si="1"/>
        <v/>
      </c>
      <c r="F35" s="181"/>
      <c r="G35" s="155" t="str">
        <f t="shared" si="2"/>
        <v/>
      </c>
      <c r="H35" s="155" t="str">
        <f t="shared" si="3"/>
        <v/>
      </c>
    </row>
    <row r="36" spans="1:8" s="152" customFormat="1" ht="11.25" customHeight="1" x14ac:dyDescent="0.2">
      <c r="B36" s="176"/>
      <c r="C36" s="156"/>
      <c r="D36" s="155" t="str">
        <f t="shared" si="0"/>
        <v/>
      </c>
      <c r="E36" s="155" t="str">
        <f t="shared" si="1"/>
        <v/>
      </c>
      <c r="F36" s="181"/>
      <c r="G36" s="155" t="str">
        <f t="shared" si="2"/>
        <v/>
      </c>
      <c r="H36" s="155" t="str">
        <f t="shared" si="3"/>
        <v/>
      </c>
    </row>
    <row r="37" spans="1:8" s="152" customFormat="1" ht="11.25" customHeight="1" x14ac:dyDescent="0.2">
      <c r="B37" s="176"/>
      <c r="C37" s="156"/>
      <c r="D37" s="155" t="str">
        <f t="shared" si="0"/>
        <v/>
      </c>
      <c r="E37" s="155" t="str">
        <f t="shared" si="1"/>
        <v/>
      </c>
      <c r="F37" s="181"/>
      <c r="G37" s="155" t="str">
        <f t="shared" si="2"/>
        <v/>
      </c>
      <c r="H37" s="155" t="str">
        <f t="shared" si="3"/>
        <v/>
      </c>
    </row>
    <row r="38" spans="1:8" s="152" customFormat="1" ht="11.25" customHeight="1" x14ac:dyDescent="0.2">
      <c r="B38" s="176"/>
      <c r="C38" s="156"/>
      <c r="D38" s="155" t="str">
        <f t="shared" si="0"/>
        <v/>
      </c>
      <c r="E38" s="155" t="str">
        <f t="shared" si="1"/>
        <v/>
      </c>
      <c r="F38" s="181"/>
      <c r="G38" s="155" t="str">
        <f t="shared" si="2"/>
        <v/>
      </c>
      <c r="H38" s="155" t="str">
        <f t="shared" si="3"/>
        <v/>
      </c>
    </row>
    <row r="39" spans="1:8" s="152" customFormat="1" ht="11.25" customHeight="1" x14ac:dyDescent="0.2">
      <c r="B39" s="176"/>
      <c r="C39" s="156"/>
      <c r="D39" s="155" t="str">
        <f t="shared" si="0"/>
        <v/>
      </c>
      <c r="E39" s="155" t="str">
        <f t="shared" si="1"/>
        <v/>
      </c>
      <c r="F39" s="181"/>
      <c r="G39" s="155" t="str">
        <f t="shared" si="2"/>
        <v/>
      </c>
      <c r="H39" s="155" t="str">
        <f t="shared" si="3"/>
        <v/>
      </c>
    </row>
    <row r="40" spans="1:8" s="152" customFormat="1" ht="11.25" customHeight="1" x14ac:dyDescent="0.2">
      <c r="B40" s="176"/>
      <c r="C40" s="156"/>
      <c r="D40" s="155" t="str">
        <f t="shared" si="0"/>
        <v/>
      </c>
      <c r="E40" s="155" t="str">
        <f t="shared" si="1"/>
        <v/>
      </c>
      <c r="F40" s="181"/>
      <c r="G40" s="155" t="str">
        <f t="shared" si="2"/>
        <v/>
      </c>
      <c r="H40" s="155" t="str">
        <f t="shared" si="3"/>
        <v/>
      </c>
    </row>
    <row r="41" spans="1:8" s="152" customFormat="1" ht="11.25" customHeight="1" x14ac:dyDescent="0.2">
      <c r="B41" s="176"/>
      <c r="C41" s="156"/>
      <c r="D41" s="155" t="str">
        <f t="shared" si="0"/>
        <v/>
      </c>
      <c r="E41" s="155" t="str">
        <f t="shared" si="1"/>
        <v/>
      </c>
      <c r="F41" s="181"/>
      <c r="G41" s="155" t="str">
        <f t="shared" si="2"/>
        <v/>
      </c>
      <c r="H41" s="155" t="str">
        <f t="shared" si="3"/>
        <v/>
      </c>
    </row>
    <row r="42" spans="1:8" s="152" customFormat="1" ht="11.25" customHeight="1" x14ac:dyDescent="0.2">
      <c r="B42" s="176"/>
      <c r="C42" s="156"/>
      <c r="D42" s="155" t="str">
        <f t="shared" si="0"/>
        <v/>
      </c>
      <c r="E42" s="155" t="str">
        <f t="shared" si="1"/>
        <v/>
      </c>
      <c r="F42" s="181"/>
      <c r="G42" s="155" t="str">
        <f t="shared" si="2"/>
        <v/>
      </c>
      <c r="H42" s="155" t="str">
        <f t="shared" si="3"/>
        <v/>
      </c>
    </row>
    <row r="43" spans="1:8" s="152" customFormat="1" ht="11.25" customHeight="1" x14ac:dyDescent="0.2">
      <c r="B43" s="176"/>
      <c r="C43" s="156"/>
      <c r="D43" s="155" t="str">
        <f t="shared" si="0"/>
        <v/>
      </c>
      <c r="E43" s="155" t="str">
        <f t="shared" si="1"/>
        <v/>
      </c>
      <c r="F43" s="181"/>
      <c r="G43" s="155" t="str">
        <f t="shared" si="2"/>
        <v/>
      </c>
      <c r="H43" s="155" t="str">
        <f t="shared" si="3"/>
        <v/>
      </c>
    </row>
    <row r="44" spans="1:8" ht="11.25" customHeight="1" x14ac:dyDescent="0.2">
      <c r="B44" s="176"/>
      <c r="C44" s="156"/>
      <c r="D44" s="155" t="str">
        <f t="shared" si="0"/>
        <v/>
      </c>
      <c r="E44" s="155" t="str">
        <f t="shared" si="1"/>
        <v/>
      </c>
      <c r="F44" s="181"/>
      <c r="G44" s="155" t="str">
        <f t="shared" si="2"/>
        <v/>
      </c>
      <c r="H44" s="155" t="str">
        <f t="shared" si="3"/>
        <v/>
      </c>
    </row>
    <row r="45" spans="1:8" ht="11.25" customHeight="1" x14ac:dyDescent="0.2">
      <c r="B45" s="176"/>
      <c r="C45" s="156"/>
      <c r="D45" s="155" t="str">
        <f t="shared" si="0"/>
        <v/>
      </c>
      <c r="E45" s="155" t="str">
        <f t="shared" si="1"/>
        <v/>
      </c>
      <c r="F45" s="181"/>
      <c r="G45" s="155" t="str">
        <f t="shared" si="2"/>
        <v/>
      </c>
      <c r="H45" s="155" t="str">
        <f t="shared" si="3"/>
        <v/>
      </c>
    </row>
    <row r="46" spans="1:8" ht="11.25" customHeight="1" x14ac:dyDescent="0.2">
      <c r="B46" s="176"/>
      <c r="C46" s="156"/>
      <c r="D46" s="155" t="str">
        <f t="shared" si="0"/>
        <v/>
      </c>
      <c r="E46" s="155" t="str">
        <f t="shared" si="1"/>
        <v/>
      </c>
      <c r="F46" s="181"/>
      <c r="G46" s="155" t="str">
        <f t="shared" si="2"/>
        <v/>
      </c>
      <c r="H46" s="155" t="str">
        <f t="shared" si="3"/>
        <v/>
      </c>
    </row>
    <row r="47" spans="1:8" ht="12" customHeight="1" thickBot="1" x14ac:dyDescent="0.25">
      <c r="B47" s="284"/>
      <c r="C47" s="285"/>
      <c r="D47" s="155" t="str">
        <f t="shared" si="0"/>
        <v/>
      </c>
      <c r="E47" s="155" t="str">
        <f t="shared" si="1"/>
        <v/>
      </c>
      <c r="F47" s="286"/>
      <c r="G47" s="155" t="str">
        <f t="shared" si="2"/>
        <v/>
      </c>
      <c r="H47" s="155" t="str">
        <f t="shared" si="3"/>
        <v/>
      </c>
    </row>
    <row r="48" spans="1:8" ht="12.75" customHeight="1" thickBot="1" x14ac:dyDescent="0.25">
      <c r="A48" s="159"/>
      <c r="B48" s="287" t="s">
        <v>831</v>
      </c>
      <c r="C48" s="288"/>
      <c r="D48" s="289"/>
      <c r="E48" s="290">
        <f>SUM(E9:E47)</f>
        <v>1611.135</v>
      </c>
      <c r="F48" s="291" t="s">
        <v>831</v>
      </c>
      <c r="G48" s="288"/>
      <c r="H48" s="292">
        <f>SUM(H9:H47)</f>
        <v>477.62083333333334</v>
      </c>
    </row>
    <row r="49" spans="1:8" ht="12.75" customHeight="1" thickBot="1" x14ac:dyDescent="0.25">
      <c r="A49" s="159"/>
      <c r="B49" s="287" t="s">
        <v>832</v>
      </c>
      <c r="C49" s="288"/>
      <c r="D49" s="293"/>
      <c r="E49" s="292">
        <f>E48*10/100</f>
        <v>161.11350000000002</v>
      </c>
      <c r="F49" s="294" t="s">
        <v>832</v>
      </c>
      <c r="G49" s="295"/>
      <c r="H49" s="292">
        <f>H48*10/100</f>
        <v>47.762083333333329</v>
      </c>
    </row>
    <row r="50" spans="1:8" ht="12.75" customHeight="1" thickBot="1" x14ac:dyDescent="0.25">
      <c r="A50" s="159"/>
      <c r="B50" s="291" t="s">
        <v>24</v>
      </c>
      <c r="C50" s="288"/>
      <c r="D50" s="293"/>
      <c r="E50" s="292">
        <f>E48+E49</f>
        <v>1772.2484999999999</v>
      </c>
      <c r="F50" s="291" t="s">
        <v>24</v>
      </c>
      <c r="G50" s="295"/>
      <c r="H50" s="292">
        <f>H48+H49</f>
        <v>525.38291666666669</v>
      </c>
    </row>
    <row r="51" spans="1:8" ht="12.75" customHeight="1" thickBot="1" x14ac:dyDescent="0.25">
      <c r="B51" s="291" t="s">
        <v>10</v>
      </c>
      <c r="C51" s="288"/>
      <c r="D51" s="288"/>
      <c r="E51" s="296">
        <v>105</v>
      </c>
      <c r="F51" s="291" t="s">
        <v>10</v>
      </c>
      <c r="G51" s="288"/>
      <c r="H51" s="297"/>
    </row>
    <row r="52" spans="1:8" ht="12.75" customHeight="1" thickBot="1" x14ac:dyDescent="0.25">
      <c r="B52" s="298" t="s">
        <v>1261</v>
      </c>
      <c r="C52" s="288"/>
      <c r="D52" s="288"/>
      <c r="E52" s="292">
        <f>E50/E51</f>
        <v>16.878557142857144</v>
      </c>
      <c r="F52" s="291" t="s">
        <v>1261</v>
      </c>
      <c r="G52" s="288"/>
      <c r="H52" s="292" t="e">
        <f>H50/H51</f>
        <v>#DIV/0!</v>
      </c>
    </row>
    <row r="53" spans="1:8" ht="12" customHeight="1" thickBot="1" x14ac:dyDescent="0.25">
      <c r="B53" s="283" t="s">
        <v>15</v>
      </c>
      <c r="C53" s="299" t="s">
        <v>1859</v>
      </c>
      <c r="D53" s="300"/>
      <c r="E53" s="300"/>
      <c r="F53" s="300"/>
      <c r="G53" s="300"/>
      <c r="H53" s="301"/>
    </row>
    <row r="54" spans="1:8" ht="12" customHeight="1" thickBot="1" x14ac:dyDescent="0.25">
      <c r="B54" s="283" t="s">
        <v>16</v>
      </c>
      <c r="C54" s="302" t="s">
        <v>1860</v>
      </c>
      <c r="D54" s="303"/>
      <c r="E54" s="303"/>
      <c r="F54" s="303"/>
      <c r="G54" s="303"/>
      <c r="H54" s="304"/>
    </row>
    <row r="55" spans="1:8" ht="12" customHeight="1" thickBot="1" x14ac:dyDescent="0.25">
      <c r="B55" s="283" t="s">
        <v>17</v>
      </c>
      <c r="C55" s="302" t="s">
        <v>1795</v>
      </c>
      <c r="D55" s="303"/>
      <c r="E55" s="303"/>
      <c r="F55" s="303"/>
      <c r="G55" s="303"/>
      <c r="H55" s="304"/>
    </row>
    <row r="56" spans="1:8" ht="12" customHeight="1" thickBot="1" x14ac:dyDescent="0.25">
      <c r="B56" s="283" t="s">
        <v>18</v>
      </c>
      <c r="C56" s="302" t="s">
        <v>1861</v>
      </c>
      <c r="D56" s="303"/>
      <c r="E56" s="303"/>
      <c r="F56" s="303"/>
      <c r="G56" s="303"/>
      <c r="H56" s="304"/>
    </row>
    <row r="57" spans="1:8" ht="12" customHeight="1" thickBot="1" x14ac:dyDescent="0.25">
      <c r="B57" s="283" t="s">
        <v>49</v>
      </c>
      <c r="C57" s="302" t="s">
        <v>1862</v>
      </c>
      <c r="D57" s="303"/>
      <c r="E57" s="303"/>
      <c r="F57" s="303"/>
      <c r="G57" s="303"/>
      <c r="H57" s="304"/>
    </row>
    <row r="58" spans="1:8" ht="12" customHeight="1" thickBot="1" x14ac:dyDescent="0.25">
      <c r="B58" s="283" t="s">
        <v>51</v>
      </c>
      <c r="C58" s="302" t="s">
        <v>1863</v>
      </c>
      <c r="D58" s="303"/>
      <c r="E58" s="303"/>
      <c r="F58" s="303"/>
      <c r="G58" s="303"/>
      <c r="H58" s="304"/>
    </row>
    <row r="59" spans="1:8" ht="12" customHeight="1" thickBot="1" x14ac:dyDescent="0.25">
      <c r="B59" s="283" t="s">
        <v>47</v>
      </c>
      <c r="C59" s="302"/>
      <c r="D59" s="303"/>
      <c r="E59" s="303"/>
      <c r="F59" s="303"/>
      <c r="G59" s="303"/>
      <c r="H59" s="304"/>
    </row>
    <row r="60" spans="1:8" ht="12" customHeight="1" thickBot="1" x14ac:dyDescent="0.25">
      <c r="B60" s="283" t="s">
        <v>50</v>
      </c>
      <c r="C60" s="302"/>
      <c r="D60" s="303"/>
      <c r="E60" s="303"/>
      <c r="F60" s="303"/>
      <c r="G60" s="303"/>
      <c r="H60" s="304"/>
    </row>
    <row r="61" spans="1:8" ht="12" customHeight="1" thickBot="1" x14ac:dyDescent="0.25">
      <c r="B61" s="152"/>
      <c r="C61" s="305"/>
      <c r="D61" s="306"/>
      <c r="E61" s="306"/>
      <c r="F61" s="306"/>
      <c r="G61" s="306"/>
      <c r="H61" s="307"/>
    </row>
    <row r="62" spans="1:8" ht="21.75" customHeight="1" thickBot="1" x14ac:dyDescent="0.4">
      <c r="B62" s="277" t="s">
        <v>1889</v>
      </c>
      <c r="C62" s="278"/>
      <c r="D62" s="278"/>
      <c r="E62" s="278"/>
      <c r="F62" s="278"/>
      <c r="G62" s="278"/>
      <c r="H62" s="279"/>
    </row>
    <row r="63" spans="1:8" ht="12" customHeight="1" thickBot="1" x14ac:dyDescent="0.25">
      <c r="B63" s="280" t="s">
        <v>1891</v>
      </c>
      <c r="C63" s="281"/>
      <c r="D63" s="281"/>
      <c r="E63" s="282"/>
      <c r="F63" s="280" t="s">
        <v>1890</v>
      </c>
      <c r="G63" s="281"/>
      <c r="H63" s="282"/>
    </row>
    <row r="64" spans="1:8" ht="12" customHeight="1" thickBot="1" x14ac:dyDescent="0.25">
      <c r="B64" s="283" t="s">
        <v>1896</v>
      </c>
      <c r="C64" s="283" t="s">
        <v>20</v>
      </c>
      <c r="D64" s="283" t="s">
        <v>21</v>
      </c>
      <c r="E64" s="283" t="s">
        <v>22</v>
      </c>
      <c r="F64" s="283" t="s">
        <v>20</v>
      </c>
      <c r="G64" s="283" t="s">
        <v>21</v>
      </c>
      <c r="H64" s="283" t="s">
        <v>22</v>
      </c>
    </row>
    <row r="65" spans="2:8" s="152" customFormat="1" ht="11.25" customHeight="1" x14ac:dyDescent="0.2">
      <c r="B65" s="175" t="s">
        <v>1793</v>
      </c>
      <c r="C65" s="153">
        <v>10000</v>
      </c>
      <c r="D65" s="154">
        <f t="shared" ref="D65:D105" si="4">IF(B65="","",VLOOKUP(B65,INVENTARIO,2))</f>
        <v>0</v>
      </c>
      <c r="E65" s="154">
        <f>IF(C65=0,"",C65*D65)</f>
        <v>0</v>
      </c>
      <c r="F65" s="185">
        <v>8500</v>
      </c>
      <c r="G65" s="154">
        <f>D65</f>
        <v>0</v>
      </c>
      <c r="H65" s="155">
        <f>IF(F65=0,"",F65*G65)</f>
        <v>0</v>
      </c>
    </row>
    <row r="66" spans="2:8" s="152" customFormat="1" ht="11.25" customHeight="1" thickBot="1" x14ac:dyDescent="0.25">
      <c r="B66" s="176" t="s">
        <v>1792</v>
      </c>
      <c r="C66" s="156">
        <v>13000</v>
      </c>
      <c r="D66" s="155">
        <f t="shared" si="4"/>
        <v>4.2000000000000003E-2</v>
      </c>
      <c r="E66" s="155">
        <f t="shared" ref="E66:E105" si="5">IF(C66=0,"",C66*D66)</f>
        <v>546</v>
      </c>
      <c r="F66" s="181">
        <v>8300</v>
      </c>
      <c r="G66" s="155">
        <f t="shared" ref="G66:G105" si="6">D66</f>
        <v>4.2000000000000003E-2</v>
      </c>
      <c r="H66" s="155">
        <f t="shared" ref="H66:H105" si="7">IF(F66=0,"",F66*G66)</f>
        <v>348.6</v>
      </c>
    </row>
    <row r="67" spans="2:8" s="152" customFormat="1" ht="11.25" customHeight="1" thickBot="1" x14ac:dyDescent="0.25">
      <c r="B67" s="175" t="s">
        <v>1692</v>
      </c>
      <c r="C67" s="156">
        <v>2000</v>
      </c>
      <c r="D67" s="155">
        <f t="shared" si="4"/>
        <v>0</v>
      </c>
      <c r="E67" s="155">
        <f t="shared" si="5"/>
        <v>0</v>
      </c>
      <c r="F67" s="181">
        <v>6000</v>
      </c>
      <c r="G67" s="155">
        <f t="shared" si="6"/>
        <v>0</v>
      </c>
      <c r="H67" s="155">
        <f t="shared" si="7"/>
        <v>0</v>
      </c>
    </row>
    <row r="68" spans="2:8" s="152" customFormat="1" ht="11.25" customHeight="1" thickBot="1" x14ac:dyDescent="0.25">
      <c r="B68" s="175" t="s">
        <v>1771</v>
      </c>
      <c r="C68" s="156">
        <v>20000</v>
      </c>
      <c r="D68" s="155">
        <f t="shared" si="4"/>
        <v>0</v>
      </c>
      <c r="E68" s="155">
        <f t="shared" si="5"/>
        <v>0</v>
      </c>
      <c r="F68" s="181">
        <v>2500</v>
      </c>
      <c r="G68" s="155">
        <f t="shared" si="6"/>
        <v>0</v>
      </c>
      <c r="H68" s="155">
        <f t="shared" si="7"/>
        <v>0</v>
      </c>
    </row>
    <row r="69" spans="2:8" s="152" customFormat="1" ht="11.25" customHeight="1" thickBot="1" x14ac:dyDescent="0.25">
      <c r="B69" s="175" t="s">
        <v>1772</v>
      </c>
      <c r="C69" s="156"/>
      <c r="D69" s="155">
        <f t="shared" si="4"/>
        <v>0</v>
      </c>
      <c r="E69" s="155" t="str">
        <f t="shared" si="5"/>
        <v/>
      </c>
      <c r="F69" s="181">
        <v>2500</v>
      </c>
      <c r="G69" s="155">
        <f t="shared" si="6"/>
        <v>0</v>
      </c>
      <c r="H69" s="155">
        <f t="shared" si="7"/>
        <v>0</v>
      </c>
    </row>
    <row r="70" spans="2:8" s="152" customFormat="1" ht="11.25" customHeight="1" thickBot="1" x14ac:dyDescent="0.25">
      <c r="B70" s="175" t="s">
        <v>1815</v>
      </c>
      <c r="C70" s="156">
        <v>15</v>
      </c>
      <c r="D70" s="155">
        <f t="shared" si="4"/>
        <v>0</v>
      </c>
      <c r="E70" s="155">
        <f t="shared" si="5"/>
        <v>0</v>
      </c>
      <c r="F70" s="181">
        <v>2000</v>
      </c>
      <c r="G70" s="155">
        <f t="shared" si="6"/>
        <v>0</v>
      </c>
      <c r="H70" s="155">
        <f t="shared" si="7"/>
        <v>0</v>
      </c>
    </row>
    <row r="71" spans="2:8" s="152" customFormat="1" ht="11.25" customHeight="1" x14ac:dyDescent="0.2">
      <c r="B71" s="175" t="s">
        <v>1804</v>
      </c>
      <c r="C71" s="156">
        <v>5000</v>
      </c>
      <c r="D71" s="155">
        <f t="shared" si="4"/>
        <v>0</v>
      </c>
      <c r="E71" s="155">
        <f t="shared" si="5"/>
        <v>0</v>
      </c>
      <c r="F71" s="181">
        <v>1000</v>
      </c>
      <c r="G71" s="155">
        <f t="shared" si="6"/>
        <v>0</v>
      </c>
      <c r="H71" s="155">
        <f t="shared" si="7"/>
        <v>0</v>
      </c>
    </row>
    <row r="72" spans="2:8" s="152" customFormat="1" ht="11.25" customHeight="1" x14ac:dyDescent="0.2">
      <c r="B72" s="176" t="s">
        <v>1744</v>
      </c>
      <c r="C72" s="156">
        <v>5000</v>
      </c>
      <c r="D72" s="155">
        <f t="shared" si="4"/>
        <v>1.325E-2</v>
      </c>
      <c r="E72" s="155">
        <f t="shared" si="5"/>
        <v>66.25</v>
      </c>
      <c r="F72" s="181">
        <v>2000</v>
      </c>
      <c r="G72" s="155">
        <f t="shared" si="6"/>
        <v>1.325E-2</v>
      </c>
      <c r="H72" s="155">
        <f t="shared" si="7"/>
        <v>26.5</v>
      </c>
    </row>
    <row r="73" spans="2:8" s="152" customFormat="1" ht="11.25" customHeight="1" x14ac:dyDescent="0.2">
      <c r="B73" s="176" t="s">
        <v>1704</v>
      </c>
      <c r="C73" s="156">
        <v>200</v>
      </c>
      <c r="D73" s="155">
        <f t="shared" si="4"/>
        <v>8.0000000000000002E-3</v>
      </c>
      <c r="E73" s="155">
        <f t="shared" si="5"/>
        <v>1.6</v>
      </c>
      <c r="F73" s="181">
        <v>11000</v>
      </c>
      <c r="G73" s="155">
        <f t="shared" si="6"/>
        <v>8.0000000000000002E-3</v>
      </c>
      <c r="H73" s="155">
        <f t="shared" si="7"/>
        <v>88</v>
      </c>
    </row>
    <row r="74" spans="2:8" s="152" customFormat="1" ht="11.25" customHeight="1" x14ac:dyDescent="0.2">
      <c r="B74" s="176" t="s">
        <v>1702</v>
      </c>
      <c r="C74" s="156">
        <v>5000</v>
      </c>
      <c r="D74" s="155">
        <f t="shared" si="4"/>
        <v>1.4999999999999999E-2</v>
      </c>
      <c r="E74" s="155">
        <f t="shared" si="5"/>
        <v>75</v>
      </c>
      <c r="F74" s="181">
        <v>3000</v>
      </c>
      <c r="G74" s="155">
        <f t="shared" si="6"/>
        <v>1.4999999999999999E-2</v>
      </c>
      <c r="H74" s="155">
        <f t="shared" si="7"/>
        <v>45</v>
      </c>
    </row>
    <row r="75" spans="2:8" s="152" customFormat="1" ht="11.25" customHeight="1" x14ac:dyDescent="0.2">
      <c r="B75" s="176" t="s">
        <v>1749</v>
      </c>
      <c r="C75" s="156">
        <v>1000</v>
      </c>
      <c r="D75" s="155">
        <f t="shared" si="4"/>
        <v>1.4999999999999999E-2</v>
      </c>
      <c r="E75" s="155">
        <f t="shared" si="5"/>
        <v>15</v>
      </c>
      <c r="F75" s="181">
        <v>300</v>
      </c>
      <c r="G75" s="155">
        <f t="shared" si="6"/>
        <v>1.4999999999999999E-2</v>
      </c>
      <c r="H75" s="155">
        <f t="shared" si="7"/>
        <v>4.5</v>
      </c>
    </row>
    <row r="76" spans="2:8" s="152" customFormat="1" ht="11.25" customHeight="1" x14ac:dyDescent="0.2">
      <c r="B76" s="176" t="s">
        <v>1745</v>
      </c>
      <c r="C76" s="156">
        <v>2000</v>
      </c>
      <c r="D76" s="155">
        <f t="shared" si="4"/>
        <v>0.01</v>
      </c>
      <c r="E76" s="155">
        <f t="shared" si="5"/>
        <v>20</v>
      </c>
      <c r="F76" s="181">
        <v>2000</v>
      </c>
      <c r="G76" s="155">
        <f t="shared" si="6"/>
        <v>0.01</v>
      </c>
      <c r="H76" s="155">
        <f t="shared" si="7"/>
        <v>20</v>
      </c>
    </row>
    <row r="77" spans="2:8" s="152" customFormat="1" ht="11.25" customHeight="1" x14ac:dyDescent="0.2">
      <c r="B77" s="176" t="s">
        <v>1746</v>
      </c>
      <c r="C77" s="156">
        <v>1000</v>
      </c>
      <c r="D77" s="155">
        <f t="shared" si="4"/>
        <v>8.0000000000000002E-3</v>
      </c>
      <c r="E77" s="155">
        <f t="shared" si="5"/>
        <v>8</v>
      </c>
      <c r="F77" s="181">
        <v>2500</v>
      </c>
      <c r="G77" s="155">
        <f t="shared" si="6"/>
        <v>8.0000000000000002E-3</v>
      </c>
      <c r="H77" s="155">
        <f t="shared" si="7"/>
        <v>20</v>
      </c>
    </row>
    <row r="78" spans="2:8" s="152" customFormat="1" ht="11.25" customHeight="1" x14ac:dyDescent="0.2">
      <c r="B78" s="176" t="s">
        <v>1797</v>
      </c>
      <c r="C78" s="156">
        <v>1000</v>
      </c>
      <c r="D78" s="155">
        <f t="shared" si="4"/>
        <v>0.01</v>
      </c>
      <c r="E78" s="155">
        <f t="shared" si="5"/>
        <v>10</v>
      </c>
      <c r="F78" s="181">
        <v>7000</v>
      </c>
      <c r="G78" s="155">
        <f t="shared" si="6"/>
        <v>0.01</v>
      </c>
      <c r="H78" s="155">
        <f t="shared" si="7"/>
        <v>70</v>
      </c>
    </row>
    <row r="79" spans="2:8" s="152" customFormat="1" ht="11.25" customHeight="1" x14ac:dyDescent="0.2">
      <c r="B79" s="176" t="s">
        <v>1703</v>
      </c>
      <c r="C79" s="156">
        <v>2000</v>
      </c>
      <c r="D79" s="155">
        <f t="shared" si="4"/>
        <v>6.0000000000000001E-3</v>
      </c>
      <c r="E79" s="155">
        <f t="shared" si="5"/>
        <v>12</v>
      </c>
      <c r="F79" s="181">
        <v>2000</v>
      </c>
      <c r="G79" s="155">
        <f t="shared" si="6"/>
        <v>6.0000000000000001E-3</v>
      </c>
      <c r="H79" s="155">
        <f t="shared" si="7"/>
        <v>12</v>
      </c>
    </row>
    <row r="80" spans="2:8" s="152" customFormat="1" x14ac:dyDescent="0.2">
      <c r="B80" s="176" t="s">
        <v>1742</v>
      </c>
      <c r="C80" s="156">
        <v>300</v>
      </c>
      <c r="D80" s="155">
        <f t="shared" si="4"/>
        <v>0.01</v>
      </c>
      <c r="E80" s="155">
        <f t="shared" si="5"/>
        <v>3</v>
      </c>
      <c r="F80" s="181">
        <v>2000</v>
      </c>
      <c r="G80" s="155">
        <f t="shared" si="6"/>
        <v>0.01</v>
      </c>
      <c r="H80" s="155">
        <f t="shared" si="7"/>
        <v>20</v>
      </c>
    </row>
    <row r="81" spans="2:8" s="152" customFormat="1" ht="11.25" customHeight="1" x14ac:dyDescent="0.2">
      <c r="B81" s="176" t="s">
        <v>1743</v>
      </c>
      <c r="C81" s="156">
        <v>600</v>
      </c>
      <c r="D81" s="155">
        <f t="shared" si="4"/>
        <v>0.01</v>
      </c>
      <c r="E81" s="155">
        <f t="shared" si="5"/>
        <v>6</v>
      </c>
      <c r="F81" s="181">
        <v>3000</v>
      </c>
      <c r="G81" s="155">
        <f t="shared" si="6"/>
        <v>0.01</v>
      </c>
      <c r="H81" s="155">
        <f t="shared" si="7"/>
        <v>30</v>
      </c>
    </row>
    <row r="82" spans="2:8" s="152" customFormat="1" ht="11.25" customHeight="1" x14ac:dyDescent="0.2">
      <c r="B82" s="176" t="s">
        <v>1767</v>
      </c>
      <c r="C82" s="156">
        <v>1000</v>
      </c>
      <c r="D82" s="155">
        <f t="shared" si="4"/>
        <v>1.32E-2</v>
      </c>
      <c r="E82" s="155">
        <f t="shared" si="5"/>
        <v>13.2</v>
      </c>
      <c r="F82" s="181">
        <v>3000</v>
      </c>
      <c r="G82" s="155">
        <f t="shared" si="6"/>
        <v>1.32E-2</v>
      </c>
      <c r="H82" s="155">
        <f t="shared" si="7"/>
        <v>39.6</v>
      </c>
    </row>
    <row r="83" spans="2:8" s="152" customFormat="1" ht="11.25" customHeight="1" x14ac:dyDescent="0.2">
      <c r="B83" s="176" t="s">
        <v>1681</v>
      </c>
      <c r="C83" s="156">
        <v>2000</v>
      </c>
      <c r="D83" s="155">
        <f t="shared" si="4"/>
        <v>7.2</v>
      </c>
      <c r="E83" s="155">
        <f t="shared" si="5"/>
        <v>14400</v>
      </c>
      <c r="F83" s="181">
        <v>1</v>
      </c>
      <c r="G83" s="155">
        <f t="shared" si="6"/>
        <v>7.2</v>
      </c>
      <c r="H83" s="155">
        <f t="shared" si="7"/>
        <v>7.2</v>
      </c>
    </row>
    <row r="84" spans="2:8" s="152" customFormat="1" ht="11.25" customHeight="1" x14ac:dyDescent="0.2">
      <c r="B84" s="176" t="s">
        <v>1768</v>
      </c>
      <c r="C84" s="156">
        <v>2000</v>
      </c>
      <c r="D84" s="155">
        <f t="shared" si="4"/>
        <v>3.3000000000000002E-2</v>
      </c>
      <c r="E84" s="155">
        <f t="shared" si="5"/>
        <v>66</v>
      </c>
      <c r="F84" s="181">
        <v>800</v>
      </c>
      <c r="G84" s="155">
        <f t="shared" si="6"/>
        <v>3.3000000000000002E-2</v>
      </c>
      <c r="H84" s="155">
        <f t="shared" si="7"/>
        <v>26.400000000000002</v>
      </c>
    </row>
    <row r="85" spans="2:8" s="152" customFormat="1" ht="11.25" customHeight="1" x14ac:dyDescent="0.2">
      <c r="B85" s="176" t="s">
        <v>1864</v>
      </c>
      <c r="C85" s="156"/>
      <c r="D85" s="155">
        <f t="shared" si="4"/>
        <v>1.4E-2</v>
      </c>
      <c r="E85" s="155" t="str">
        <f t="shared" si="5"/>
        <v/>
      </c>
      <c r="F85" s="181">
        <v>2000</v>
      </c>
      <c r="G85" s="155">
        <f t="shared" si="6"/>
        <v>1.4E-2</v>
      </c>
      <c r="H85" s="155">
        <f t="shared" si="7"/>
        <v>28</v>
      </c>
    </row>
    <row r="86" spans="2:8" s="152" customFormat="1" ht="11.25" customHeight="1" x14ac:dyDescent="0.2">
      <c r="B86" s="176" t="s">
        <v>1709</v>
      </c>
      <c r="C86" s="156"/>
      <c r="D86" s="155">
        <f t="shared" si="4"/>
        <v>4.28E-3</v>
      </c>
      <c r="E86" s="155" t="str">
        <f t="shared" si="5"/>
        <v/>
      </c>
      <c r="F86" s="181">
        <v>3000</v>
      </c>
      <c r="G86" s="155">
        <f t="shared" si="6"/>
        <v>4.28E-3</v>
      </c>
      <c r="H86" s="155">
        <f t="shared" si="7"/>
        <v>12.84</v>
      </c>
    </row>
    <row r="87" spans="2:8" s="152" customFormat="1" ht="11.25" customHeight="1" x14ac:dyDescent="0.2">
      <c r="B87" s="176" t="s">
        <v>1710</v>
      </c>
      <c r="C87" s="156"/>
      <c r="D87" s="155">
        <f t="shared" si="4"/>
        <v>1.2538271604938271E-2</v>
      </c>
      <c r="E87" s="155" t="str">
        <f t="shared" si="5"/>
        <v/>
      </c>
      <c r="F87" s="181">
        <v>700</v>
      </c>
      <c r="G87" s="155">
        <f t="shared" si="6"/>
        <v>1.2538271604938271E-2</v>
      </c>
      <c r="H87" s="155">
        <f t="shared" si="7"/>
        <v>8.7767901234567898</v>
      </c>
    </row>
    <row r="88" spans="2:8" s="152" customFormat="1" ht="11.25" customHeight="1" x14ac:dyDescent="0.2">
      <c r="B88" s="176" t="s">
        <v>1734</v>
      </c>
      <c r="C88" s="156"/>
      <c r="D88" s="155">
        <f t="shared" si="4"/>
        <v>6.1285714285714284E-2</v>
      </c>
      <c r="E88" s="155" t="str">
        <f t="shared" si="5"/>
        <v/>
      </c>
      <c r="F88" s="181">
        <v>1000</v>
      </c>
      <c r="G88" s="155">
        <f t="shared" si="6"/>
        <v>6.1285714285714284E-2</v>
      </c>
      <c r="H88" s="155">
        <f t="shared" si="7"/>
        <v>61.285714285714285</v>
      </c>
    </row>
    <row r="89" spans="2:8" s="152" customFormat="1" ht="11.25" customHeight="1" x14ac:dyDescent="0.2">
      <c r="B89" s="176" t="s">
        <v>1781</v>
      </c>
      <c r="C89" s="156"/>
      <c r="D89" s="155">
        <f t="shared" si="4"/>
        <v>1.3859999999999999E-2</v>
      </c>
      <c r="E89" s="155" t="str">
        <f t="shared" si="5"/>
        <v/>
      </c>
      <c r="F89" s="181">
        <v>1000</v>
      </c>
      <c r="G89" s="155">
        <f t="shared" si="6"/>
        <v>1.3859999999999999E-2</v>
      </c>
      <c r="H89" s="155">
        <f t="shared" si="7"/>
        <v>13.86</v>
      </c>
    </row>
    <row r="90" spans="2:8" s="152" customFormat="1" ht="11.25" customHeight="1" x14ac:dyDescent="0.2">
      <c r="B90" s="176" t="s">
        <v>1730</v>
      </c>
      <c r="C90" s="156"/>
      <c r="D90" s="155">
        <f t="shared" si="4"/>
        <v>5.2699999999999995E-3</v>
      </c>
      <c r="E90" s="155" t="str">
        <f t="shared" si="5"/>
        <v/>
      </c>
      <c r="F90" s="181">
        <v>2500</v>
      </c>
      <c r="G90" s="155">
        <f t="shared" si="6"/>
        <v>5.2699999999999995E-3</v>
      </c>
      <c r="H90" s="155">
        <f t="shared" si="7"/>
        <v>13.174999999999999</v>
      </c>
    </row>
    <row r="91" spans="2:8" s="152" customFormat="1" ht="11.25" customHeight="1" x14ac:dyDescent="0.2">
      <c r="B91" s="176"/>
      <c r="C91" s="156"/>
      <c r="D91" s="155" t="str">
        <f t="shared" si="4"/>
        <v/>
      </c>
      <c r="E91" s="155" t="str">
        <f t="shared" si="5"/>
        <v/>
      </c>
      <c r="F91" s="181"/>
      <c r="G91" s="155" t="str">
        <f t="shared" si="6"/>
        <v/>
      </c>
      <c r="H91" s="155" t="str">
        <f t="shared" si="7"/>
        <v/>
      </c>
    </row>
    <row r="92" spans="2:8" s="152" customFormat="1" ht="11.25" customHeight="1" x14ac:dyDescent="0.2">
      <c r="B92" s="176"/>
      <c r="C92" s="156"/>
      <c r="D92" s="155" t="str">
        <f t="shared" si="4"/>
        <v/>
      </c>
      <c r="E92" s="155" t="str">
        <f t="shared" si="5"/>
        <v/>
      </c>
      <c r="F92" s="181"/>
      <c r="G92" s="155" t="str">
        <f t="shared" si="6"/>
        <v/>
      </c>
      <c r="H92" s="155" t="str">
        <f t="shared" si="7"/>
        <v/>
      </c>
    </row>
    <row r="93" spans="2:8" s="152" customFormat="1" ht="11.25" customHeight="1" x14ac:dyDescent="0.2">
      <c r="B93" s="176"/>
      <c r="C93" s="156"/>
      <c r="D93" s="155" t="str">
        <f t="shared" si="4"/>
        <v/>
      </c>
      <c r="E93" s="155" t="str">
        <f t="shared" si="5"/>
        <v/>
      </c>
      <c r="F93" s="181"/>
      <c r="G93" s="155" t="str">
        <f t="shared" si="6"/>
        <v/>
      </c>
      <c r="H93" s="155" t="str">
        <f t="shared" si="7"/>
        <v/>
      </c>
    </row>
    <row r="94" spans="2:8" s="152" customFormat="1" ht="11.25" customHeight="1" x14ac:dyDescent="0.2">
      <c r="B94" s="176"/>
      <c r="C94" s="156"/>
      <c r="D94" s="155" t="str">
        <f t="shared" si="4"/>
        <v/>
      </c>
      <c r="E94" s="155" t="str">
        <f t="shared" si="5"/>
        <v/>
      </c>
      <c r="F94" s="181"/>
      <c r="G94" s="155" t="str">
        <f t="shared" si="6"/>
        <v/>
      </c>
      <c r="H94" s="155" t="str">
        <f t="shared" si="7"/>
        <v/>
      </c>
    </row>
    <row r="95" spans="2:8" s="152" customFormat="1" ht="11.25" customHeight="1" x14ac:dyDescent="0.2">
      <c r="B95" s="176"/>
      <c r="C95" s="156"/>
      <c r="D95" s="155" t="str">
        <f t="shared" si="4"/>
        <v/>
      </c>
      <c r="E95" s="155" t="str">
        <f t="shared" si="5"/>
        <v/>
      </c>
      <c r="F95" s="181"/>
      <c r="G95" s="155" t="str">
        <f t="shared" si="6"/>
        <v/>
      </c>
      <c r="H95" s="155" t="str">
        <f t="shared" si="7"/>
        <v/>
      </c>
    </row>
    <row r="96" spans="2:8" s="152" customFormat="1" ht="11.25" customHeight="1" x14ac:dyDescent="0.2">
      <c r="B96" s="176"/>
      <c r="C96" s="156"/>
      <c r="D96" s="155" t="str">
        <f t="shared" si="4"/>
        <v/>
      </c>
      <c r="E96" s="155" t="str">
        <f t="shared" si="5"/>
        <v/>
      </c>
      <c r="F96" s="181"/>
      <c r="G96" s="155" t="str">
        <f t="shared" si="6"/>
        <v/>
      </c>
      <c r="H96" s="155" t="str">
        <f t="shared" si="7"/>
        <v/>
      </c>
    </row>
    <row r="97" spans="1:8" s="152" customFormat="1" ht="11.25" customHeight="1" x14ac:dyDescent="0.2">
      <c r="B97" s="176"/>
      <c r="C97" s="156"/>
      <c r="D97" s="155" t="str">
        <f t="shared" si="4"/>
        <v/>
      </c>
      <c r="E97" s="155" t="str">
        <f t="shared" si="5"/>
        <v/>
      </c>
      <c r="F97" s="181"/>
      <c r="G97" s="155" t="str">
        <f t="shared" si="6"/>
        <v/>
      </c>
      <c r="H97" s="155" t="str">
        <f t="shared" si="7"/>
        <v/>
      </c>
    </row>
    <row r="98" spans="1:8" s="152" customFormat="1" ht="11.25" customHeight="1" x14ac:dyDescent="0.2">
      <c r="B98" s="176"/>
      <c r="C98" s="156"/>
      <c r="D98" s="155" t="str">
        <f t="shared" si="4"/>
        <v/>
      </c>
      <c r="E98" s="155" t="str">
        <f t="shared" si="5"/>
        <v/>
      </c>
      <c r="F98" s="181"/>
      <c r="G98" s="155" t="str">
        <f t="shared" si="6"/>
        <v/>
      </c>
      <c r="H98" s="155" t="str">
        <f t="shared" si="7"/>
        <v/>
      </c>
    </row>
    <row r="99" spans="1:8" s="152" customFormat="1" ht="11.25" customHeight="1" x14ac:dyDescent="0.2">
      <c r="B99" s="176"/>
      <c r="C99" s="156"/>
      <c r="D99" s="155" t="str">
        <f t="shared" si="4"/>
        <v/>
      </c>
      <c r="E99" s="155" t="str">
        <f t="shared" si="5"/>
        <v/>
      </c>
      <c r="F99" s="181"/>
      <c r="G99" s="155" t="str">
        <f t="shared" si="6"/>
        <v/>
      </c>
      <c r="H99" s="155" t="str">
        <f t="shared" si="7"/>
        <v/>
      </c>
    </row>
    <row r="100" spans="1:8" ht="11.25" customHeight="1" x14ac:dyDescent="0.2">
      <c r="B100" s="176"/>
      <c r="C100" s="156"/>
      <c r="D100" s="155" t="str">
        <f t="shared" si="4"/>
        <v/>
      </c>
      <c r="E100" s="155" t="str">
        <f t="shared" si="5"/>
        <v/>
      </c>
      <c r="F100" s="181"/>
      <c r="G100" s="155" t="str">
        <f t="shared" si="6"/>
        <v/>
      </c>
      <c r="H100" s="155" t="str">
        <f t="shared" si="7"/>
        <v/>
      </c>
    </row>
    <row r="101" spans="1:8" ht="11.25" customHeight="1" x14ac:dyDescent="0.2">
      <c r="B101" s="176"/>
      <c r="C101" s="156"/>
      <c r="D101" s="155" t="str">
        <f t="shared" si="4"/>
        <v/>
      </c>
      <c r="E101" s="155" t="str">
        <f t="shared" si="5"/>
        <v/>
      </c>
      <c r="F101" s="181"/>
      <c r="G101" s="155" t="str">
        <f t="shared" si="6"/>
        <v/>
      </c>
      <c r="H101" s="155" t="str">
        <f t="shared" si="7"/>
        <v/>
      </c>
    </row>
    <row r="102" spans="1:8" ht="11.25" customHeight="1" x14ac:dyDescent="0.2">
      <c r="B102" s="176"/>
      <c r="C102" s="156"/>
      <c r="D102" s="155" t="str">
        <f t="shared" si="4"/>
        <v/>
      </c>
      <c r="E102" s="155" t="str">
        <f t="shared" si="5"/>
        <v/>
      </c>
      <c r="F102" s="181"/>
      <c r="G102" s="155" t="str">
        <f t="shared" si="6"/>
        <v/>
      </c>
      <c r="H102" s="155" t="str">
        <f t="shared" si="7"/>
        <v/>
      </c>
    </row>
    <row r="103" spans="1:8" ht="11.25" customHeight="1" x14ac:dyDescent="0.2">
      <c r="B103" s="176"/>
      <c r="C103" s="156"/>
      <c r="D103" s="155" t="str">
        <f t="shared" si="4"/>
        <v/>
      </c>
      <c r="E103" s="155" t="str">
        <f t="shared" si="5"/>
        <v/>
      </c>
      <c r="F103" s="308"/>
      <c r="G103" s="155" t="str">
        <f t="shared" si="6"/>
        <v/>
      </c>
      <c r="H103" s="155"/>
    </row>
    <row r="104" spans="1:8" ht="11.25" customHeight="1" x14ac:dyDescent="0.2">
      <c r="B104" s="176"/>
      <c r="C104" s="156"/>
      <c r="D104" s="155" t="str">
        <f t="shared" si="4"/>
        <v/>
      </c>
      <c r="E104" s="155" t="str">
        <f t="shared" si="5"/>
        <v/>
      </c>
      <c r="F104" s="308"/>
      <c r="G104" s="155" t="str">
        <f t="shared" si="6"/>
        <v/>
      </c>
      <c r="H104" s="155"/>
    </row>
    <row r="105" spans="1:8" ht="12" customHeight="1" thickBot="1" x14ac:dyDescent="0.25">
      <c r="B105" s="284"/>
      <c r="C105" s="285"/>
      <c r="D105" s="309" t="str">
        <f t="shared" si="4"/>
        <v/>
      </c>
      <c r="E105" s="310" t="str">
        <f t="shared" si="5"/>
        <v/>
      </c>
      <c r="F105" s="286"/>
      <c r="G105" s="309" t="str">
        <f t="shared" si="6"/>
        <v/>
      </c>
      <c r="H105" s="155" t="str">
        <f t="shared" si="7"/>
        <v/>
      </c>
    </row>
    <row r="106" spans="1:8" ht="12.75" customHeight="1" thickBot="1" x14ac:dyDescent="0.25">
      <c r="A106" s="159"/>
      <c r="B106" s="287" t="s">
        <v>831</v>
      </c>
      <c r="C106" s="288"/>
      <c r="D106" s="311"/>
      <c r="E106" s="154">
        <f>SUM(E65:E105)</f>
        <v>15242.05</v>
      </c>
      <c r="F106" s="287" t="s">
        <v>831</v>
      </c>
      <c r="G106" s="288"/>
      <c r="H106" s="292">
        <f>SUM(H65:H105)</f>
        <v>895.73750440917115</v>
      </c>
    </row>
    <row r="107" spans="1:8" ht="12.75" customHeight="1" thickBot="1" x14ac:dyDescent="0.25">
      <c r="A107" s="159"/>
      <c r="B107" s="287" t="s">
        <v>832</v>
      </c>
      <c r="C107" s="288"/>
      <c r="D107" s="288"/>
      <c r="E107" s="155">
        <f>E106*10/100</f>
        <v>1524.2049999999999</v>
      </c>
      <c r="F107" s="312" t="s">
        <v>832</v>
      </c>
      <c r="G107" s="295"/>
      <c r="H107" s="292">
        <f>H106*10/100</f>
        <v>89.573750440917124</v>
      </c>
    </row>
    <row r="108" spans="1:8" ht="12.75" customHeight="1" thickBot="1" x14ac:dyDescent="0.25">
      <c r="A108" s="159"/>
      <c r="B108" s="287" t="s">
        <v>24</v>
      </c>
      <c r="C108" s="288"/>
      <c r="D108" s="288"/>
      <c r="E108" s="155">
        <f>E106+E107</f>
        <v>16766.254999999997</v>
      </c>
      <c r="F108" s="287" t="s">
        <v>24</v>
      </c>
      <c r="G108" s="295"/>
      <c r="H108" s="292">
        <f>H106+H107</f>
        <v>985.31125485008829</v>
      </c>
    </row>
    <row r="109" spans="1:8" ht="12.75" customHeight="1" thickBot="1" x14ac:dyDescent="0.25">
      <c r="B109" s="291" t="s">
        <v>10</v>
      </c>
      <c r="C109" s="288"/>
      <c r="D109" s="288"/>
      <c r="E109" s="313">
        <v>75</v>
      </c>
      <c r="F109" s="287" t="s">
        <v>10</v>
      </c>
      <c r="G109" s="288"/>
      <c r="H109" s="314"/>
    </row>
    <row r="110" spans="1:8" ht="12.75" customHeight="1" thickBot="1" x14ac:dyDescent="0.25">
      <c r="B110" s="298" t="s">
        <v>1261</v>
      </c>
      <c r="C110" s="288"/>
      <c r="D110" s="288"/>
      <c r="E110" s="309">
        <f>E108/E109</f>
        <v>223.55006666666662</v>
      </c>
      <c r="F110" s="287" t="s">
        <v>1261</v>
      </c>
      <c r="G110" s="288"/>
      <c r="H110" s="292" t="e">
        <f>H108/H109</f>
        <v>#DIV/0!</v>
      </c>
    </row>
    <row r="111" spans="1:8" ht="12" customHeight="1" thickBot="1" x14ac:dyDescent="0.25">
      <c r="B111" s="283" t="s">
        <v>48</v>
      </c>
      <c r="C111" s="315" t="s">
        <v>1865</v>
      </c>
      <c r="D111" s="316"/>
      <c r="E111" s="317"/>
      <c r="F111" s="316"/>
      <c r="G111" s="316"/>
      <c r="H111" s="318"/>
    </row>
    <row r="112" spans="1:8" ht="12" customHeight="1" thickBot="1" x14ac:dyDescent="0.25">
      <c r="B112" s="283" t="s">
        <v>15</v>
      </c>
      <c r="C112" s="302" t="s">
        <v>1822</v>
      </c>
      <c r="D112" s="303"/>
      <c r="E112" s="303"/>
      <c r="F112" s="303"/>
      <c r="G112" s="303"/>
      <c r="H112" s="304"/>
    </row>
    <row r="113" spans="2:8" ht="12" customHeight="1" thickBot="1" x14ac:dyDescent="0.25">
      <c r="B113" s="283" t="s">
        <v>16</v>
      </c>
      <c r="C113" s="302" t="s">
        <v>1866</v>
      </c>
      <c r="D113" s="303"/>
      <c r="E113" s="303"/>
      <c r="F113" s="303"/>
      <c r="G113" s="303"/>
      <c r="H113" s="304"/>
    </row>
    <row r="114" spans="2:8" ht="12" customHeight="1" thickBot="1" x14ac:dyDescent="0.25">
      <c r="B114" s="283" t="s">
        <v>17</v>
      </c>
      <c r="C114" s="302" t="s">
        <v>1867</v>
      </c>
      <c r="D114" s="303"/>
      <c r="E114" s="303"/>
      <c r="F114" s="303"/>
      <c r="G114" s="303"/>
      <c r="H114" s="304"/>
    </row>
    <row r="115" spans="2:8" ht="12" customHeight="1" thickBot="1" x14ac:dyDescent="0.25">
      <c r="B115" s="283" t="s">
        <v>18</v>
      </c>
      <c r="C115" s="302" t="s">
        <v>1868</v>
      </c>
      <c r="D115" s="303"/>
      <c r="E115" s="303"/>
      <c r="F115" s="303"/>
      <c r="G115" s="303"/>
      <c r="H115" s="304"/>
    </row>
    <row r="116" spans="2:8" ht="12" customHeight="1" thickBot="1" x14ac:dyDescent="0.25">
      <c r="B116" s="283" t="s">
        <v>49</v>
      </c>
      <c r="C116" s="302" t="s">
        <v>1869</v>
      </c>
      <c r="D116" s="303"/>
      <c r="E116" s="303"/>
      <c r="F116" s="303"/>
      <c r="G116" s="303"/>
      <c r="H116" s="304"/>
    </row>
    <row r="117" spans="2:8" ht="12" customHeight="1" thickBot="1" x14ac:dyDescent="0.25">
      <c r="B117" s="283" t="s">
        <v>51</v>
      </c>
      <c r="C117" s="302" t="s">
        <v>1770</v>
      </c>
      <c r="D117" s="303"/>
      <c r="E117" s="303"/>
      <c r="F117" s="303"/>
      <c r="G117" s="303"/>
      <c r="H117" s="304"/>
    </row>
    <row r="118" spans="2:8" ht="12" customHeight="1" thickBot="1" x14ac:dyDescent="0.25">
      <c r="B118" s="283" t="s">
        <v>47</v>
      </c>
      <c r="C118" s="302" t="s">
        <v>1870</v>
      </c>
      <c r="D118" s="303"/>
      <c r="E118" s="303"/>
      <c r="F118" s="303"/>
      <c r="G118" s="303"/>
      <c r="H118" s="304"/>
    </row>
    <row r="119" spans="2:8" ht="12" customHeight="1" thickBot="1" x14ac:dyDescent="0.25">
      <c r="B119" s="283" t="s">
        <v>50</v>
      </c>
      <c r="C119" s="305"/>
      <c r="D119" s="306"/>
      <c r="E119" s="306"/>
      <c r="F119" s="306"/>
      <c r="G119" s="306"/>
      <c r="H119" s="307"/>
    </row>
    <row r="120" spans="2:8" ht="12" customHeight="1" thickBot="1" x14ac:dyDescent="0.25">
      <c r="B120" s="152"/>
      <c r="C120" s="319"/>
      <c r="D120" s="319"/>
      <c r="E120" s="319"/>
      <c r="F120" s="319"/>
      <c r="G120" s="319"/>
      <c r="H120" s="319"/>
    </row>
    <row r="121" spans="2:8" ht="21.75" customHeight="1" thickBot="1" x14ac:dyDescent="0.4">
      <c r="B121" s="277" t="s">
        <v>1892</v>
      </c>
      <c r="C121" s="278"/>
      <c r="D121" s="278"/>
      <c r="E121" s="278"/>
      <c r="F121" s="278"/>
      <c r="G121" s="278"/>
      <c r="H121" s="279"/>
    </row>
    <row r="122" spans="2:8" ht="12" customHeight="1" thickBot="1" x14ac:dyDescent="0.25">
      <c r="B122" s="280" t="s">
        <v>1891</v>
      </c>
      <c r="C122" s="281"/>
      <c r="D122" s="281"/>
      <c r="E122" s="282"/>
      <c r="F122" s="280" t="s">
        <v>1890</v>
      </c>
      <c r="G122" s="281"/>
      <c r="H122" s="282"/>
    </row>
    <row r="123" spans="2:8" ht="12" customHeight="1" thickBot="1" x14ac:dyDescent="0.25">
      <c r="B123" s="283" t="s">
        <v>1896</v>
      </c>
      <c r="C123" s="283" t="s">
        <v>20</v>
      </c>
      <c r="D123" s="283" t="s">
        <v>21</v>
      </c>
      <c r="E123" s="283" t="s">
        <v>22</v>
      </c>
      <c r="F123" s="283" t="s">
        <v>20</v>
      </c>
      <c r="G123" s="283" t="s">
        <v>21</v>
      </c>
      <c r="H123" s="283" t="s">
        <v>22</v>
      </c>
    </row>
    <row r="124" spans="2:8" s="152" customFormat="1" ht="11.25" customHeight="1" thickBot="1" x14ac:dyDescent="0.25">
      <c r="B124" s="176" t="s">
        <v>1821</v>
      </c>
      <c r="C124" s="153">
        <v>8000</v>
      </c>
      <c r="D124" s="154">
        <f t="shared" ref="D124:D163" si="8">IF(B124="","",VLOOKUP(B124,INVENTARIO,2))</f>
        <v>0</v>
      </c>
      <c r="E124" s="154">
        <f>IF(C124=0,"",C124*D124)</f>
        <v>0</v>
      </c>
      <c r="F124" s="185">
        <v>10500</v>
      </c>
      <c r="G124" s="154">
        <f>D124</f>
        <v>0</v>
      </c>
      <c r="H124" s="155">
        <f>IF(F124=0,"",F124*G124)</f>
        <v>0</v>
      </c>
    </row>
    <row r="125" spans="2:8" s="152" customFormat="1" ht="11.25" customHeight="1" thickBot="1" x14ac:dyDescent="0.25">
      <c r="B125" s="176" t="s">
        <v>1771</v>
      </c>
      <c r="C125" s="156">
        <v>20000</v>
      </c>
      <c r="D125" s="155">
        <f t="shared" si="8"/>
        <v>0</v>
      </c>
      <c r="E125" s="155">
        <f t="shared" ref="E125:E163" si="9">IF(C125=0,"",C125*D125)</f>
        <v>0</v>
      </c>
      <c r="F125" s="185">
        <v>2500</v>
      </c>
      <c r="G125" s="155">
        <f t="shared" ref="G125:G163" si="10">D125</f>
        <v>0</v>
      </c>
      <c r="H125" s="155">
        <f t="shared" ref="H125:H163" si="11">IF(F125=0,"",F125*G125)</f>
        <v>0</v>
      </c>
    </row>
    <row r="126" spans="2:8" s="152" customFormat="1" ht="11.25" customHeight="1" x14ac:dyDescent="0.2">
      <c r="B126" s="175" t="s">
        <v>1692</v>
      </c>
      <c r="C126" s="156">
        <v>8000</v>
      </c>
      <c r="D126" s="155">
        <f t="shared" si="8"/>
        <v>0</v>
      </c>
      <c r="E126" s="155">
        <f t="shared" si="9"/>
        <v>0</v>
      </c>
      <c r="F126" s="181">
        <v>16500</v>
      </c>
      <c r="G126" s="155">
        <f t="shared" si="10"/>
        <v>0</v>
      </c>
      <c r="H126" s="155">
        <f t="shared" si="11"/>
        <v>0</v>
      </c>
    </row>
    <row r="127" spans="2:8" s="152" customFormat="1" ht="11.25" customHeight="1" x14ac:dyDescent="0.2">
      <c r="B127" s="176" t="s">
        <v>1776</v>
      </c>
      <c r="C127" s="156">
        <v>5000</v>
      </c>
      <c r="D127" s="155">
        <f t="shared" si="8"/>
        <v>7.0000000000000001E-3</v>
      </c>
      <c r="E127" s="155">
        <f t="shared" si="9"/>
        <v>35</v>
      </c>
      <c r="F127" s="181">
        <v>6500</v>
      </c>
      <c r="G127" s="155">
        <f t="shared" si="10"/>
        <v>7.0000000000000001E-3</v>
      </c>
      <c r="H127" s="155">
        <f t="shared" si="11"/>
        <v>45.5</v>
      </c>
    </row>
    <row r="128" spans="2:8" s="152" customFormat="1" ht="11.25" customHeight="1" x14ac:dyDescent="0.2">
      <c r="B128" s="176" t="s">
        <v>1698</v>
      </c>
      <c r="C128" s="156">
        <v>5000</v>
      </c>
      <c r="D128" s="155">
        <f t="shared" si="8"/>
        <v>1.4E-2</v>
      </c>
      <c r="E128" s="155">
        <f t="shared" si="9"/>
        <v>70</v>
      </c>
      <c r="F128" s="181">
        <v>3200</v>
      </c>
      <c r="G128" s="155">
        <f t="shared" si="10"/>
        <v>1.4E-2</v>
      </c>
      <c r="H128" s="155">
        <f t="shared" si="11"/>
        <v>44.800000000000004</v>
      </c>
    </row>
    <row r="129" spans="2:8" s="152" customFormat="1" ht="11.25" customHeight="1" x14ac:dyDescent="0.2">
      <c r="B129" s="176" t="s">
        <v>1741</v>
      </c>
      <c r="C129" s="156"/>
      <c r="D129" s="155">
        <f t="shared" si="8"/>
        <v>2.5</v>
      </c>
      <c r="E129" s="155" t="str">
        <f t="shared" si="9"/>
        <v/>
      </c>
      <c r="F129" s="181">
        <v>10</v>
      </c>
      <c r="G129" s="155">
        <f t="shared" si="10"/>
        <v>2.5</v>
      </c>
      <c r="H129" s="155">
        <f t="shared" si="11"/>
        <v>25</v>
      </c>
    </row>
    <row r="130" spans="2:8" s="152" customFormat="1" ht="11.25" customHeight="1" x14ac:dyDescent="0.2">
      <c r="B130" s="176" t="s">
        <v>1746</v>
      </c>
      <c r="C130" s="156">
        <v>2000</v>
      </c>
      <c r="D130" s="155">
        <f t="shared" si="8"/>
        <v>8.0000000000000002E-3</v>
      </c>
      <c r="E130" s="155">
        <f t="shared" si="9"/>
        <v>16</v>
      </c>
      <c r="F130" s="181">
        <v>2500</v>
      </c>
      <c r="G130" s="155">
        <f t="shared" si="10"/>
        <v>8.0000000000000002E-3</v>
      </c>
      <c r="H130" s="155">
        <f t="shared" si="11"/>
        <v>20</v>
      </c>
    </row>
    <row r="131" spans="2:8" s="152" customFormat="1" ht="11.25" customHeight="1" x14ac:dyDescent="0.2">
      <c r="B131" s="176" t="s">
        <v>1764</v>
      </c>
      <c r="C131" s="156">
        <v>30</v>
      </c>
      <c r="D131" s="155">
        <f t="shared" si="8"/>
        <v>2E-3</v>
      </c>
      <c r="E131" s="155">
        <f t="shared" si="9"/>
        <v>0.06</v>
      </c>
      <c r="F131" s="181">
        <v>13000</v>
      </c>
      <c r="G131" s="155">
        <f t="shared" si="10"/>
        <v>2E-3</v>
      </c>
      <c r="H131" s="155">
        <f t="shared" si="11"/>
        <v>26</v>
      </c>
    </row>
    <row r="132" spans="2:8" s="152" customFormat="1" ht="11.25" customHeight="1" x14ac:dyDescent="0.2">
      <c r="B132" s="176" t="s">
        <v>1729</v>
      </c>
      <c r="C132" s="156">
        <v>8000</v>
      </c>
      <c r="D132" s="155">
        <f t="shared" si="8"/>
        <v>1.3859999999999999E-2</v>
      </c>
      <c r="E132" s="155">
        <f t="shared" si="9"/>
        <v>110.88</v>
      </c>
      <c r="F132" s="181">
        <v>5000</v>
      </c>
      <c r="G132" s="155">
        <f t="shared" si="10"/>
        <v>1.3859999999999999E-2</v>
      </c>
      <c r="H132" s="155">
        <f t="shared" si="11"/>
        <v>69.3</v>
      </c>
    </row>
    <row r="133" spans="2:8" s="152" customFormat="1" ht="11.25" customHeight="1" thickBot="1" x14ac:dyDescent="0.25">
      <c r="B133" s="176" t="s">
        <v>1702</v>
      </c>
      <c r="C133" s="156"/>
      <c r="D133" s="155">
        <f t="shared" si="8"/>
        <v>1.4999999999999999E-2</v>
      </c>
      <c r="E133" s="155" t="str">
        <f t="shared" si="9"/>
        <v/>
      </c>
      <c r="F133" s="181">
        <v>2200</v>
      </c>
      <c r="G133" s="155">
        <f t="shared" si="10"/>
        <v>1.4999999999999999E-2</v>
      </c>
      <c r="H133" s="155">
        <f t="shared" si="11"/>
        <v>33</v>
      </c>
    </row>
    <row r="134" spans="2:8" s="152" customFormat="1" ht="11.25" customHeight="1" thickBot="1" x14ac:dyDescent="0.25">
      <c r="B134" s="175" t="s">
        <v>1671</v>
      </c>
      <c r="C134" s="156">
        <v>4000</v>
      </c>
      <c r="D134" s="155">
        <f t="shared" si="8"/>
        <v>0</v>
      </c>
      <c r="E134" s="155">
        <f t="shared" si="9"/>
        <v>0</v>
      </c>
      <c r="F134" s="181">
        <v>2</v>
      </c>
      <c r="G134" s="155">
        <f t="shared" si="10"/>
        <v>0</v>
      </c>
      <c r="H134" s="155">
        <f t="shared" si="11"/>
        <v>0</v>
      </c>
    </row>
    <row r="135" spans="2:8" s="152" customFormat="1" ht="11.25" customHeight="1" thickBot="1" x14ac:dyDescent="0.25">
      <c r="B135" s="175" t="s">
        <v>1670</v>
      </c>
      <c r="C135" s="156">
        <v>4000</v>
      </c>
      <c r="D135" s="155">
        <f t="shared" si="8"/>
        <v>4.5090000000000005E-2</v>
      </c>
      <c r="E135" s="155">
        <f t="shared" si="9"/>
        <v>180.36</v>
      </c>
      <c r="F135" s="181">
        <v>800</v>
      </c>
      <c r="G135" s="155">
        <f t="shared" si="10"/>
        <v>4.5090000000000005E-2</v>
      </c>
      <c r="H135" s="155">
        <f t="shared" si="11"/>
        <v>36.072000000000003</v>
      </c>
    </row>
    <row r="136" spans="2:8" s="152" customFormat="1" ht="11.25" customHeight="1" x14ac:dyDescent="0.2">
      <c r="B136" s="175" t="s">
        <v>1871</v>
      </c>
      <c r="C136" s="156">
        <v>4000</v>
      </c>
      <c r="D136" s="155">
        <f t="shared" si="8"/>
        <v>0</v>
      </c>
      <c r="E136" s="155">
        <f t="shared" si="9"/>
        <v>0</v>
      </c>
      <c r="F136" s="181">
        <v>2</v>
      </c>
      <c r="G136" s="155">
        <f t="shared" si="10"/>
        <v>0</v>
      </c>
      <c r="H136" s="155">
        <f t="shared" si="11"/>
        <v>0</v>
      </c>
    </row>
    <row r="137" spans="2:8" s="152" customFormat="1" ht="11.25" customHeight="1" x14ac:dyDescent="0.2">
      <c r="B137" s="176" t="s">
        <v>1709</v>
      </c>
      <c r="C137" s="156">
        <v>2000</v>
      </c>
      <c r="D137" s="155">
        <f t="shared" si="8"/>
        <v>4.28E-3</v>
      </c>
      <c r="E137" s="155">
        <f t="shared" si="9"/>
        <v>8.56</v>
      </c>
      <c r="F137" s="181">
        <v>3000</v>
      </c>
      <c r="G137" s="155">
        <f t="shared" si="10"/>
        <v>4.28E-3</v>
      </c>
      <c r="H137" s="155">
        <f t="shared" si="11"/>
        <v>12.84</v>
      </c>
    </row>
    <row r="138" spans="2:8" s="152" customFormat="1" ht="11.25" customHeight="1" x14ac:dyDescent="0.2">
      <c r="B138" s="176" t="s">
        <v>1790</v>
      </c>
      <c r="C138" s="156"/>
      <c r="D138" s="155">
        <f t="shared" si="8"/>
        <v>1.3197499999999999E-2</v>
      </c>
      <c r="E138" s="155"/>
      <c r="F138" s="181">
        <v>700</v>
      </c>
      <c r="G138" s="155">
        <f t="shared" si="10"/>
        <v>1.3197499999999999E-2</v>
      </c>
      <c r="H138" s="155">
        <f t="shared" si="11"/>
        <v>9.238249999999999</v>
      </c>
    </row>
    <row r="139" spans="2:8" s="152" customFormat="1" ht="11.25" customHeight="1" x14ac:dyDescent="0.2">
      <c r="B139" s="176" t="s">
        <v>1783</v>
      </c>
      <c r="C139" s="156"/>
      <c r="D139" s="155">
        <f t="shared" si="8"/>
        <v>1.021860465116279E-2</v>
      </c>
      <c r="E139" s="155"/>
      <c r="F139" s="181">
        <v>1200</v>
      </c>
      <c r="G139" s="155">
        <f t="shared" si="10"/>
        <v>1.021860465116279E-2</v>
      </c>
      <c r="H139" s="155">
        <f t="shared" si="11"/>
        <v>12.262325581395347</v>
      </c>
    </row>
    <row r="140" spans="2:8" s="152" customFormat="1" ht="11.25" customHeight="1" x14ac:dyDescent="0.2">
      <c r="B140" s="176" t="s">
        <v>1712</v>
      </c>
      <c r="C140" s="156"/>
      <c r="D140" s="155">
        <f t="shared" si="8"/>
        <v>2.5856000000000001E-2</v>
      </c>
      <c r="E140" s="155"/>
      <c r="F140" s="181">
        <v>3000</v>
      </c>
      <c r="G140" s="155">
        <f t="shared" si="10"/>
        <v>2.5856000000000001E-2</v>
      </c>
      <c r="H140" s="155">
        <f t="shared" si="11"/>
        <v>77.567999999999998</v>
      </c>
    </row>
    <row r="141" spans="2:8" s="152" customFormat="1" ht="11.25" customHeight="1" x14ac:dyDescent="0.2">
      <c r="B141" s="176" t="s">
        <v>1730</v>
      </c>
      <c r="C141" s="156"/>
      <c r="D141" s="155">
        <f t="shared" si="8"/>
        <v>5.2699999999999995E-3</v>
      </c>
      <c r="E141" s="155"/>
      <c r="F141" s="181">
        <v>2000</v>
      </c>
      <c r="G141" s="155">
        <f t="shared" si="10"/>
        <v>5.2699999999999995E-3</v>
      </c>
      <c r="H141" s="155">
        <f t="shared" si="11"/>
        <v>10.54</v>
      </c>
    </row>
    <row r="142" spans="2:8" s="152" customFormat="1" ht="11.25" customHeight="1" x14ac:dyDescent="0.2">
      <c r="B142" s="176" t="s">
        <v>1731</v>
      </c>
      <c r="C142" s="156"/>
      <c r="D142" s="155">
        <f t="shared" si="8"/>
        <v>1.2219999999999998E-2</v>
      </c>
      <c r="E142" s="155"/>
      <c r="F142" s="181">
        <v>6000</v>
      </c>
      <c r="G142" s="155">
        <f t="shared" si="10"/>
        <v>1.2219999999999998E-2</v>
      </c>
      <c r="H142" s="155">
        <f t="shared" si="11"/>
        <v>73.319999999999993</v>
      </c>
    </row>
    <row r="143" spans="2:8" s="152" customFormat="1" ht="11.25" customHeight="1" x14ac:dyDescent="0.2">
      <c r="B143" s="176"/>
      <c r="C143" s="156"/>
      <c r="D143" s="155" t="str">
        <f t="shared" si="8"/>
        <v/>
      </c>
      <c r="E143" s="155"/>
      <c r="F143" s="181"/>
      <c r="G143" s="155" t="str">
        <f t="shared" si="10"/>
        <v/>
      </c>
      <c r="H143" s="155" t="str">
        <f t="shared" si="11"/>
        <v/>
      </c>
    </row>
    <row r="144" spans="2:8" s="152" customFormat="1" ht="11.25" customHeight="1" x14ac:dyDescent="0.2">
      <c r="B144" s="176"/>
      <c r="C144" s="156"/>
      <c r="D144" s="155" t="str">
        <f t="shared" si="8"/>
        <v/>
      </c>
      <c r="E144" s="155"/>
      <c r="F144" s="181"/>
      <c r="G144" s="155" t="str">
        <f t="shared" si="10"/>
        <v/>
      </c>
      <c r="H144" s="155" t="str">
        <f t="shared" si="11"/>
        <v/>
      </c>
    </row>
    <row r="145" spans="2:8" s="152" customFormat="1" ht="11.25" customHeight="1" x14ac:dyDescent="0.2">
      <c r="B145" s="176"/>
      <c r="C145" s="156"/>
      <c r="D145" s="155" t="str">
        <f t="shared" si="8"/>
        <v/>
      </c>
      <c r="E145" s="155"/>
      <c r="F145" s="181"/>
      <c r="G145" s="155" t="str">
        <f t="shared" si="10"/>
        <v/>
      </c>
      <c r="H145" s="155" t="str">
        <f t="shared" si="11"/>
        <v/>
      </c>
    </row>
    <row r="146" spans="2:8" s="152" customFormat="1" ht="11.25" customHeight="1" x14ac:dyDescent="0.2">
      <c r="B146" s="176"/>
      <c r="C146" s="156"/>
      <c r="D146" s="155" t="str">
        <f t="shared" si="8"/>
        <v/>
      </c>
      <c r="E146" s="155"/>
      <c r="F146" s="181"/>
      <c r="G146" s="155" t="str">
        <f t="shared" si="10"/>
        <v/>
      </c>
      <c r="H146" s="155" t="str">
        <f t="shared" si="11"/>
        <v/>
      </c>
    </row>
    <row r="147" spans="2:8" s="152" customFormat="1" ht="11.25" customHeight="1" x14ac:dyDescent="0.2">
      <c r="B147" s="176"/>
      <c r="C147" s="156"/>
      <c r="D147" s="155" t="str">
        <f t="shared" si="8"/>
        <v/>
      </c>
      <c r="E147" s="155"/>
      <c r="F147" s="181"/>
      <c r="G147" s="155" t="str">
        <f t="shared" si="10"/>
        <v/>
      </c>
      <c r="H147" s="155" t="str">
        <f t="shared" si="11"/>
        <v/>
      </c>
    </row>
    <row r="148" spans="2:8" s="152" customFormat="1" ht="11.25" customHeight="1" x14ac:dyDescent="0.2">
      <c r="B148" s="176"/>
      <c r="C148" s="156"/>
      <c r="D148" s="155" t="str">
        <f t="shared" si="8"/>
        <v/>
      </c>
      <c r="E148" s="155"/>
      <c r="F148" s="181"/>
      <c r="G148" s="155" t="str">
        <f t="shared" si="10"/>
        <v/>
      </c>
      <c r="H148" s="155" t="str">
        <f t="shared" si="11"/>
        <v/>
      </c>
    </row>
    <row r="149" spans="2:8" ht="11.25" customHeight="1" x14ac:dyDescent="0.2">
      <c r="B149" s="176"/>
      <c r="C149" s="156"/>
      <c r="D149" s="155" t="str">
        <f t="shared" si="8"/>
        <v/>
      </c>
      <c r="E149" s="155"/>
      <c r="F149" s="181"/>
      <c r="G149" s="155" t="str">
        <f t="shared" si="10"/>
        <v/>
      </c>
      <c r="H149" s="155" t="str">
        <f t="shared" si="11"/>
        <v/>
      </c>
    </row>
    <row r="150" spans="2:8" ht="11.25" customHeight="1" x14ac:dyDescent="0.2">
      <c r="B150" s="176"/>
      <c r="C150" s="156"/>
      <c r="D150" s="155" t="str">
        <f t="shared" si="8"/>
        <v/>
      </c>
      <c r="E150" s="155"/>
      <c r="F150" s="181"/>
      <c r="G150" s="155" t="str">
        <f t="shared" si="10"/>
        <v/>
      </c>
      <c r="H150" s="155" t="str">
        <f t="shared" si="11"/>
        <v/>
      </c>
    </row>
    <row r="151" spans="2:8" ht="11.25" customHeight="1" x14ac:dyDescent="0.2">
      <c r="B151" s="176"/>
      <c r="C151" s="156"/>
      <c r="D151" s="155" t="str">
        <f t="shared" si="8"/>
        <v/>
      </c>
      <c r="E151" s="155"/>
      <c r="F151" s="181"/>
      <c r="G151" s="155" t="str">
        <f t="shared" si="10"/>
        <v/>
      </c>
      <c r="H151" s="155" t="str">
        <f t="shared" si="11"/>
        <v/>
      </c>
    </row>
    <row r="152" spans="2:8" ht="11.25" customHeight="1" x14ac:dyDescent="0.2">
      <c r="B152" s="176"/>
      <c r="C152" s="156"/>
      <c r="D152" s="155" t="str">
        <f t="shared" si="8"/>
        <v/>
      </c>
      <c r="E152" s="155"/>
      <c r="F152" s="181"/>
      <c r="G152" s="155" t="str">
        <f t="shared" si="10"/>
        <v/>
      </c>
      <c r="H152" s="155" t="str">
        <f t="shared" si="11"/>
        <v/>
      </c>
    </row>
    <row r="153" spans="2:8" ht="11.25" customHeight="1" x14ac:dyDescent="0.2">
      <c r="B153" s="176"/>
      <c r="C153" s="156"/>
      <c r="D153" s="155" t="str">
        <f t="shared" si="8"/>
        <v/>
      </c>
      <c r="E153" s="155" t="str">
        <f t="shared" si="9"/>
        <v/>
      </c>
      <c r="F153" s="181"/>
      <c r="G153" s="155" t="str">
        <f t="shared" si="10"/>
        <v/>
      </c>
      <c r="H153" s="155" t="str">
        <f t="shared" si="11"/>
        <v/>
      </c>
    </row>
    <row r="154" spans="2:8" ht="11.25" customHeight="1" x14ac:dyDescent="0.2">
      <c r="B154" s="176"/>
      <c r="C154" s="156"/>
      <c r="D154" s="155" t="str">
        <f t="shared" si="8"/>
        <v/>
      </c>
      <c r="E154" s="155" t="str">
        <f t="shared" si="9"/>
        <v/>
      </c>
      <c r="F154" s="181"/>
      <c r="G154" s="155" t="str">
        <f t="shared" si="10"/>
        <v/>
      </c>
      <c r="H154" s="155" t="str">
        <f t="shared" si="11"/>
        <v/>
      </c>
    </row>
    <row r="155" spans="2:8" ht="11.25" customHeight="1" x14ac:dyDescent="0.2">
      <c r="B155" s="176"/>
      <c r="C155" s="156"/>
      <c r="D155" s="155" t="str">
        <f t="shared" si="8"/>
        <v/>
      </c>
      <c r="E155" s="155" t="str">
        <f t="shared" si="9"/>
        <v/>
      </c>
      <c r="F155" s="181"/>
      <c r="G155" s="155" t="str">
        <f t="shared" si="10"/>
        <v/>
      </c>
      <c r="H155" s="155" t="str">
        <f t="shared" si="11"/>
        <v/>
      </c>
    </row>
    <row r="156" spans="2:8" ht="11.25" customHeight="1" x14ac:dyDescent="0.2">
      <c r="B156" s="176"/>
      <c r="C156" s="156"/>
      <c r="D156" s="155" t="str">
        <f t="shared" si="8"/>
        <v/>
      </c>
      <c r="E156" s="155" t="str">
        <f t="shared" si="9"/>
        <v/>
      </c>
      <c r="F156" s="181"/>
      <c r="G156" s="155" t="str">
        <f t="shared" si="10"/>
        <v/>
      </c>
      <c r="H156" s="155" t="str">
        <f t="shared" si="11"/>
        <v/>
      </c>
    </row>
    <row r="157" spans="2:8" ht="11.25" customHeight="1" x14ac:dyDescent="0.2">
      <c r="B157" s="176"/>
      <c r="C157" s="156"/>
      <c r="D157" s="155" t="str">
        <f t="shared" si="8"/>
        <v/>
      </c>
      <c r="E157" s="155" t="str">
        <f t="shared" si="9"/>
        <v/>
      </c>
      <c r="F157" s="181"/>
      <c r="G157" s="155" t="str">
        <f t="shared" si="10"/>
        <v/>
      </c>
      <c r="H157" s="155" t="str">
        <f t="shared" si="11"/>
        <v/>
      </c>
    </row>
    <row r="158" spans="2:8" ht="11.25" customHeight="1" x14ac:dyDescent="0.2">
      <c r="B158" s="176"/>
      <c r="C158" s="156"/>
      <c r="D158" s="155" t="str">
        <f t="shared" si="8"/>
        <v/>
      </c>
      <c r="E158" s="155" t="str">
        <f t="shared" si="9"/>
        <v/>
      </c>
      <c r="F158" s="181"/>
      <c r="G158" s="155" t="str">
        <f t="shared" si="10"/>
        <v/>
      </c>
      <c r="H158" s="155" t="str">
        <f t="shared" si="11"/>
        <v/>
      </c>
    </row>
    <row r="159" spans="2:8" ht="11.25" customHeight="1" x14ac:dyDescent="0.2">
      <c r="B159" s="176"/>
      <c r="C159" s="156"/>
      <c r="D159" s="155" t="str">
        <f t="shared" si="8"/>
        <v/>
      </c>
      <c r="E159" s="155" t="str">
        <f t="shared" si="9"/>
        <v/>
      </c>
      <c r="F159" s="181"/>
      <c r="G159" s="155" t="str">
        <f t="shared" si="10"/>
        <v/>
      </c>
      <c r="H159" s="155" t="str">
        <f t="shared" si="11"/>
        <v/>
      </c>
    </row>
    <row r="160" spans="2:8" ht="11.25" customHeight="1" x14ac:dyDescent="0.2">
      <c r="B160" s="176"/>
      <c r="C160" s="156"/>
      <c r="D160" s="155" t="str">
        <f t="shared" si="8"/>
        <v/>
      </c>
      <c r="E160" s="155" t="str">
        <f t="shared" si="9"/>
        <v/>
      </c>
      <c r="F160" s="181"/>
      <c r="G160" s="155" t="str">
        <f t="shared" si="10"/>
        <v/>
      </c>
      <c r="H160" s="155" t="str">
        <f t="shared" si="11"/>
        <v/>
      </c>
    </row>
    <row r="161" spans="1:8" ht="11.25" customHeight="1" x14ac:dyDescent="0.2">
      <c r="B161" s="176"/>
      <c r="C161" s="156"/>
      <c r="D161" s="155" t="str">
        <f t="shared" si="8"/>
        <v/>
      </c>
      <c r="E161" s="155" t="str">
        <f t="shared" si="9"/>
        <v/>
      </c>
      <c r="F161" s="181"/>
      <c r="G161" s="155" t="str">
        <f t="shared" si="10"/>
        <v/>
      </c>
      <c r="H161" s="155" t="str">
        <f t="shared" si="11"/>
        <v/>
      </c>
    </row>
    <row r="162" spans="1:8" ht="11.25" customHeight="1" x14ac:dyDescent="0.2">
      <c r="B162" s="194"/>
      <c r="C162" s="320"/>
      <c r="D162" s="155" t="str">
        <f t="shared" si="8"/>
        <v/>
      </c>
      <c r="E162" s="310"/>
      <c r="F162" s="308"/>
      <c r="G162" s="155" t="str">
        <f t="shared" si="10"/>
        <v/>
      </c>
      <c r="H162" s="155"/>
    </row>
    <row r="163" spans="1:8" ht="12" customHeight="1" thickBot="1" x14ac:dyDescent="0.25">
      <c r="B163" s="284"/>
      <c r="C163" s="285"/>
      <c r="D163" s="155" t="str">
        <f t="shared" si="8"/>
        <v/>
      </c>
      <c r="E163" s="309" t="str">
        <f t="shared" si="9"/>
        <v/>
      </c>
      <c r="F163" s="286"/>
      <c r="G163" s="155" t="str">
        <f t="shared" si="10"/>
        <v/>
      </c>
      <c r="H163" s="155" t="str">
        <f t="shared" si="11"/>
        <v/>
      </c>
    </row>
    <row r="164" spans="1:8" ht="12.75" customHeight="1" thickBot="1" x14ac:dyDescent="0.25">
      <c r="A164" s="159"/>
      <c r="B164" s="287" t="s">
        <v>831</v>
      </c>
      <c r="C164" s="288"/>
      <c r="D164" s="311"/>
      <c r="E164" s="292">
        <f>SUM(E125:E163)</f>
        <v>420.86</v>
      </c>
      <c r="F164" s="287" t="s">
        <v>831</v>
      </c>
      <c r="G164" s="288"/>
      <c r="H164" s="292">
        <f>SUM(H124:H163)</f>
        <v>495.44057558139536</v>
      </c>
    </row>
    <row r="165" spans="1:8" ht="12.75" customHeight="1" thickBot="1" x14ac:dyDescent="0.25">
      <c r="A165" s="159"/>
      <c r="B165" s="287" t="s">
        <v>832</v>
      </c>
      <c r="C165" s="288"/>
      <c r="D165" s="288"/>
      <c r="E165" s="321">
        <f>E164*10/100</f>
        <v>42.086000000000006</v>
      </c>
      <c r="F165" s="312" t="s">
        <v>832</v>
      </c>
      <c r="G165" s="295"/>
      <c r="H165" s="292">
        <f>H164*10/100</f>
        <v>49.544057558139542</v>
      </c>
    </row>
    <row r="166" spans="1:8" ht="12.75" customHeight="1" thickBot="1" x14ac:dyDescent="0.25">
      <c r="A166" s="159"/>
      <c r="B166" s="287" t="s">
        <v>24</v>
      </c>
      <c r="C166" s="288"/>
      <c r="D166" s="288"/>
      <c r="E166" s="155">
        <f>E164+E165</f>
        <v>462.94600000000003</v>
      </c>
      <c r="F166" s="287" t="s">
        <v>24</v>
      </c>
      <c r="G166" s="295"/>
      <c r="H166" s="292">
        <f>H164+H165</f>
        <v>544.98463313953494</v>
      </c>
    </row>
    <row r="167" spans="1:8" ht="12.75" customHeight="1" thickBot="1" x14ac:dyDescent="0.25">
      <c r="B167" s="291" t="s">
        <v>10</v>
      </c>
      <c r="C167" s="288"/>
      <c r="D167" s="288"/>
      <c r="E167" s="322">
        <v>105</v>
      </c>
      <c r="F167" s="287" t="s">
        <v>10</v>
      </c>
      <c r="G167" s="288"/>
      <c r="H167" s="297"/>
    </row>
    <row r="168" spans="1:8" ht="12.75" customHeight="1" thickBot="1" x14ac:dyDescent="0.25">
      <c r="B168" s="298" t="s">
        <v>1261</v>
      </c>
      <c r="C168" s="288"/>
      <c r="D168" s="288"/>
      <c r="E168" s="323">
        <f>E166/E167</f>
        <v>4.4090095238095239</v>
      </c>
      <c r="F168" s="287" t="s">
        <v>1261</v>
      </c>
      <c r="G168" s="288"/>
      <c r="H168" s="292" t="e">
        <f>H166/H167</f>
        <v>#DIV/0!</v>
      </c>
    </row>
    <row r="169" spans="1:8" ht="12" customHeight="1" thickBot="1" x14ac:dyDescent="0.25">
      <c r="B169" s="283" t="s">
        <v>48</v>
      </c>
      <c r="C169" s="315" t="s">
        <v>1872</v>
      </c>
      <c r="D169" s="316"/>
      <c r="E169" s="316"/>
      <c r="F169" s="316"/>
      <c r="G169" s="316"/>
      <c r="H169" s="318"/>
    </row>
    <row r="170" spans="1:8" ht="12" customHeight="1" thickBot="1" x14ac:dyDescent="0.25">
      <c r="B170" s="283" t="s">
        <v>15</v>
      </c>
      <c r="C170" s="302" t="s">
        <v>1816</v>
      </c>
      <c r="D170" s="303"/>
      <c r="E170" s="303"/>
      <c r="F170" s="303"/>
      <c r="G170" s="303"/>
      <c r="H170" s="304"/>
    </row>
    <row r="171" spans="1:8" ht="12" customHeight="1" thickBot="1" x14ac:dyDescent="0.25">
      <c r="B171" s="283" t="s">
        <v>16</v>
      </c>
      <c r="C171" s="302" t="s">
        <v>1873</v>
      </c>
      <c r="D171" s="303"/>
      <c r="E171" s="303"/>
      <c r="F171" s="303"/>
      <c r="G171" s="303"/>
      <c r="H171" s="304"/>
    </row>
    <row r="172" spans="1:8" ht="12" customHeight="1" thickBot="1" x14ac:dyDescent="0.25">
      <c r="B172" s="283" t="s">
        <v>17</v>
      </c>
      <c r="C172" s="302" t="s">
        <v>1874</v>
      </c>
      <c r="D172" s="303"/>
      <c r="E172" s="303"/>
      <c r="F172" s="303"/>
      <c r="G172" s="303"/>
      <c r="H172" s="304"/>
    </row>
    <row r="173" spans="1:8" ht="12" customHeight="1" thickBot="1" x14ac:dyDescent="0.25">
      <c r="B173" s="283" t="s">
        <v>18</v>
      </c>
      <c r="C173" s="302" t="s">
        <v>1875</v>
      </c>
      <c r="D173" s="303"/>
      <c r="E173" s="303"/>
      <c r="F173" s="303"/>
      <c r="G173" s="303"/>
      <c r="H173" s="304"/>
    </row>
    <row r="174" spans="1:8" ht="12" customHeight="1" thickBot="1" x14ac:dyDescent="0.25">
      <c r="B174" s="283" t="s">
        <v>49</v>
      </c>
      <c r="C174" s="302" t="s">
        <v>1788</v>
      </c>
      <c r="D174" s="303"/>
      <c r="E174" s="303"/>
      <c r="F174" s="303"/>
      <c r="G174" s="303"/>
      <c r="H174" s="304"/>
    </row>
    <row r="175" spans="1:8" ht="12" customHeight="1" thickBot="1" x14ac:dyDescent="0.25">
      <c r="B175" s="283" t="s">
        <v>51</v>
      </c>
      <c r="C175" s="302" t="s">
        <v>1876</v>
      </c>
      <c r="D175" s="303"/>
      <c r="E175" s="303"/>
      <c r="F175" s="303"/>
      <c r="G175" s="303"/>
      <c r="H175" s="304"/>
    </row>
    <row r="176" spans="1:8" ht="12" customHeight="1" thickBot="1" x14ac:dyDescent="0.25">
      <c r="B176" s="283" t="s">
        <v>47</v>
      </c>
      <c r="C176" s="302" t="s">
        <v>1877</v>
      </c>
      <c r="D176" s="303"/>
      <c r="E176" s="303"/>
      <c r="F176" s="303"/>
      <c r="G176" s="303"/>
      <c r="H176" s="304"/>
    </row>
    <row r="177" spans="2:8" ht="12" customHeight="1" thickBot="1" x14ac:dyDescent="0.25">
      <c r="B177" s="283" t="s">
        <v>50</v>
      </c>
      <c r="C177" s="305"/>
      <c r="D177" s="306"/>
      <c r="E177" s="306"/>
      <c r="F177" s="306"/>
      <c r="G177" s="306"/>
      <c r="H177" s="307"/>
    </row>
    <row r="178" spans="2:8" ht="12" customHeight="1" thickBot="1" x14ac:dyDescent="0.25">
      <c r="B178" s="152"/>
      <c r="C178" s="319"/>
      <c r="D178" s="319"/>
      <c r="E178" s="319"/>
      <c r="F178" s="319"/>
      <c r="G178" s="319"/>
      <c r="H178" s="319"/>
    </row>
    <row r="179" spans="2:8" ht="21.75" customHeight="1" thickBot="1" x14ac:dyDescent="0.4">
      <c r="B179" s="277" t="s">
        <v>1893</v>
      </c>
      <c r="C179" s="278"/>
      <c r="D179" s="278"/>
      <c r="E179" s="278"/>
      <c r="F179" s="278"/>
      <c r="G179" s="278"/>
      <c r="H179" s="279"/>
    </row>
    <row r="180" spans="2:8" ht="12" customHeight="1" thickBot="1" x14ac:dyDescent="0.25">
      <c r="B180" s="280" t="s">
        <v>1891</v>
      </c>
      <c r="C180" s="281"/>
      <c r="D180" s="281"/>
      <c r="E180" s="282"/>
      <c r="F180" s="280" t="s">
        <v>1890</v>
      </c>
      <c r="G180" s="281"/>
      <c r="H180" s="282"/>
    </row>
    <row r="181" spans="2:8" ht="12" customHeight="1" thickBot="1" x14ac:dyDescent="0.25">
      <c r="B181" s="283" t="s">
        <v>1896</v>
      </c>
      <c r="C181" s="283" t="s">
        <v>20</v>
      </c>
      <c r="D181" s="283" t="s">
        <v>21</v>
      </c>
      <c r="E181" s="283" t="s">
        <v>22</v>
      </c>
      <c r="F181" s="283" t="s">
        <v>20</v>
      </c>
      <c r="G181" s="283" t="s">
        <v>21</v>
      </c>
      <c r="H181" s="283" t="s">
        <v>22</v>
      </c>
    </row>
    <row r="182" spans="2:8" s="152" customFormat="1" ht="11.25" customHeight="1" thickBot="1" x14ac:dyDescent="0.25">
      <c r="B182" s="175" t="s">
        <v>1692</v>
      </c>
      <c r="C182" s="160">
        <v>3000</v>
      </c>
      <c r="D182" s="154">
        <f t="shared" ref="D182:D220" si="12">IF(B182="","",VLOOKUP(B182,INVENTARIO,2))</f>
        <v>0</v>
      </c>
      <c r="E182" s="154">
        <f>IF(C182=0,"",C182*D182)</f>
        <v>0</v>
      </c>
      <c r="F182" s="185">
        <v>7000</v>
      </c>
      <c r="G182" s="154">
        <f>D182</f>
        <v>0</v>
      </c>
      <c r="H182" s="155">
        <f>IF(F182=0,"",F182*G182)</f>
        <v>0</v>
      </c>
    </row>
    <row r="183" spans="2:8" s="152" customFormat="1" ht="11.25" customHeight="1" x14ac:dyDescent="0.2">
      <c r="B183" s="176" t="s">
        <v>1803</v>
      </c>
      <c r="C183" s="161">
        <v>10000</v>
      </c>
      <c r="D183" s="155">
        <f t="shared" si="12"/>
        <v>0</v>
      </c>
      <c r="E183" s="155">
        <f t="shared" ref="E183:E186" si="13">IF(C183=0,"",C183*D183)</f>
        <v>0</v>
      </c>
      <c r="F183" s="185">
        <v>1000</v>
      </c>
      <c r="G183" s="155">
        <f t="shared" ref="G183:G220" si="14">D183</f>
        <v>0</v>
      </c>
      <c r="H183" s="155">
        <f t="shared" ref="H183:H220" si="15">IF(F183=0,"",F183*G183)</f>
        <v>0</v>
      </c>
    </row>
    <row r="184" spans="2:8" s="152" customFormat="1" ht="11.25" customHeight="1" x14ac:dyDescent="0.2">
      <c r="B184" s="176" t="s">
        <v>1747</v>
      </c>
      <c r="C184" s="161">
        <v>3000</v>
      </c>
      <c r="D184" s="155">
        <f t="shared" si="12"/>
        <v>1.4999999999999999E-2</v>
      </c>
      <c r="E184" s="155">
        <f t="shared" si="13"/>
        <v>45</v>
      </c>
      <c r="F184" s="181">
        <v>200</v>
      </c>
      <c r="G184" s="155">
        <f t="shared" si="14"/>
        <v>1.4999999999999999E-2</v>
      </c>
      <c r="H184" s="155">
        <f t="shared" si="15"/>
        <v>3</v>
      </c>
    </row>
    <row r="185" spans="2:8" s="152" customFormat="1" ht="11.25" customHeight="1" x14ac:dyDescent="0.2">
      <c r="B185" s="176" t="s">
        <v>1694</v>
      </c>
      <c r="C185" s="161">
        <v>300</v>
      </c>
      <c r="D185" s="155">
        <f t="shared" si="12"/>
        <v>1.4999999999999999E-2</v>
      </c>
      <c r="E185" s="155">
        <f t="shared" si="13"/>
        <v>4.5</v>
      </c>
      <c r="F185" s="181">
        <v>300</v>
      </c>
      <c r="G185" s="155">
        <f t="shared" si="14"/>
        <v>1.4999999999999999E-2</v>
      </c>
      <c r="H185" s="155">
        <f t="shared" si="15"/>
        <v>4.5</v>
      </c>
    </row>
    <row r="186" spans="2:8" s="152" customFormat="1" ht="11.25" customHeight="1" x14ac:dyDescent="0.2">
      <c r="B186" s="176" t="s">
        <v>1698</v>
      </c>
      <c r="C186" s="161">
        <v>5000</v>
      </c>
      <c r="D186" s="155">
        <f t="shared" si="12"/>
        <v>1.4E-2</v>
      </c>
      <c r="E186" s="155">
        <f t="shared" si="13"/>
        <v>70</v>
      </c>
      <c r="F186" s="181">
        <v>1000</v>
      </c>
      <c r="G186" s="155">
        <f t="shared" si="14"/>
        <v>1.4E-2</v>
      </c>
      <c r="H186" s="155">
        <f t="shared" si="15"/>
        <v>14</v>
      </c>
    </row>
    <row r="187" spans="2:8" s="152" customFormat="1" ht="11.25" customHeight="1" x14ac:dyDescent="0.2">
      <c r="B187" s="176" t="s">
        <v>1776</v>
      </c>
      <c r="C187" s="161"/>
      <c r="D187" s="155">
        <f t="shared" si="12"/>
        <v>7.0000000000000001E-3</v>
      </c>
      <c r="E187" s="155"/>
      <c r="F187" s="181">
        <v>1000</v>
      </c>
      <c r="G187" s="155">
        <f t="shared" si="14"/>
        <v>7.0000000000000001E-3</v>
      </c>
      <c r="H187" s="155">
        <f t="shared" si="15"/>
        <v>7</v>
      </c>
    </row>
    <row r="188" spans="2:8" s="152" customFormat="1" ht="11.25" customHeight="1" x14ac:dyDescent="0.2">
      <c r="B188" s="176" t="s">
        <v>1702</v>
      </c>
      <c r="C188" s="161"/>
      <c r="D188" s="155">
        <f t="shared" si="12"/>
        <v>1.4999999999999999E-2</v>
      </c>
      <c r="E188" s="155"/>
      <c r="F188" s="181">
        <v>1000</v>
      </c>
      <c r="G188" s="155">
        <f t="shared" si="14"/>
        <v>1.4999999999999999E-2</v>
      </c>
      <c r="H188" s="155">
        <f t="shared" si="15"/>
        <v>15</v>
      </c>
    </row>
    <row r="189" spans="2:8" s="152" customFormat="1" ht="11.25" customHeight="1" x14ac:dyDescent="0.2">
      <c r="B189" s="176" t="s">
        <v>1703</v>
      </c>
      <c r="C189" s="161"/>
      <c r="D189" s="155">
        <f t="shared" si="12"/>
        <v>6.0000000000000001E-3</v>
      </c>
      <c r="E189" s="155"/>
      <c r="F189" s="181">
        <v>1500</v>
      </c>
      <c r="G189" s="155">
        <f t="shared" si="14"/>
        <v>6.0000000000000001E-3</v>
      </c>
      <c r="H189" s="155">
        <f t="shared" si="15"/>
        <v>9</v>
      </c>
    </row>
    <row r="190" spans="2:8" s="152" customFormat="1" ht="11.25" customHeight="1" x14ac:dyDescent="0.2">
      <c r="B190" s="176" t="s">
        <v>1743</v>
      </c>
      <c r="C190" s="161"/>
      <c r="D190" s="155">
        <f t="shared" si="12"/>
        <v>0.01</v>
      </c>
      <c r="E190" s="155"/>
      <c r="F190" s="181">
        <v>2000</v>
      </c>
      <c r="G190" s="155">
        <f t="shared" si="14"/>
        <v>0.01</v>
      </c>
      <c r="H190" s="155">
        <f t="shared" si="15"/>
        <v>20</v>
      </c>
    </row>
    <row r="191" spans="2:8" s="152" customFormat="1" ht="11.25" customHeight="1" x14ac:dyDescent="0.2">
      <c r="B191" s="176" t="s">
        <v>1767</v>
      </c>
      <c r="C191" s="161"/>
      <c r="D191" s="155">
        <f t="shared" si="12"/>
        <v>1.32E-2</v>
      </c>
      <c r="E191" s="155"/>
      <c r="F191" s="181">
        <v>1000</v>
      </c>
      <c r="G191" s="155">
        <f t="shared" si="14"/>
        <v>1.32E-2</v>
      </c>
      <c r="H191" s="155">
        <f t="shared" si="15"/>
        <v>13.2</v>
      </c>
    </row>
    <row r="192" spans="2:8" s="152" customFormat="1" x14ac:dyDescent="0.2">
      <c r="B192" s="176" t="s">
        <v>1733</v>
      </c>
      <c r="C192" s="161"/>
      <c r="D192" s="155">
        <f t="shared" si="12"/>
        <v>1.2E-2</v>
      </c>
      <c r="E192" s="155"/>
      <c r="F192" s="181">
        <v>1500</v>
      </c>
      <c r="G192" s="155">
        <f t="shared" si="14"/>
        <v>1.2E-2</v>
      </c>
      <c r="H192" s="155">
        <f t="shared" si="15"/>
        <v>18</v>
      </c>
    </row>
    <row r="193" spans="2:8" s="152" customFormat="1" ht="11.25" customHeight="1" x14ac:dyDescent="0.2">
      <c r="B193" s="176" t="s">
        <v>1709</v>
      </c>
      <c r="C193" s="161"/>
      <c r="D193" s="155">
        <f t="shared" si="12"/>
        <v>4.28E-3</v>
      </c>
      <c r="E193" s="155"/>
      <c r="F193" s="181">
        <v>1000</v>
      </c>
      <c r="G193" s="155">
        <f t="shared" si="14"/>
        <v>4.28E-3</v>
      </c>
      <c r="H193" s="155">
        <f t="shared" si="15"/>
        <v>4.28</v>
      </c>
    </row>
    <row r="194" spans="2:8" s="152" customFormat="1" ht="11.25" customHeight="1" x14ac:dyDescent="0.2">
      <c r="B194" s="176"/>
      <c r="C194" s="161"/>
      <c r="D194" s="155" t="str">
        <f t="shared" si="12"/>
        <v/>
      </c>
      <c r="E194" s="155"/>
      <c r="F194" s="181"/>
      <c r="G194" s="155" t="str">
        <f t="shared" si="14"/>
        <v/>
      </c>
      <c r="H194" s="155" t="str">
        <f t="shared" si="15"/>
        <v/>
      </c>
    </row>
    <row r="195" spans="2:8" s="152" customFormat="1" ht="11.25" customHeight="1" x14ac:dyDescent="0.2">
      <c r="B195" s="176"/>
      <c r="C195" s="156"/>
      <c r="D195" s="155" t="str">
        <f t="shared" si="12"/>
        <v/>
      </c>
      <c r="E195" s="155"/>
      <c r="F195" s="181"/>
      <c r="G195" s="155" t="str">
        <f t="shared" si="14"/>
        <v/>
      </c>
      <c r="H195" s="155" t="str">
        <f t="shared" si="15"/>
        <v/>
      </c>
    </row>
    <row r="196" spans="2:8" s="152" customFormat="1" ht="11.25" customHeight="1" x14ac:dyDescent="0.2">
      <c r="B196" s="176"/>
      <c r="C196" s="156"/>
      <c r="D196" s="155" t="str">
        <f t="shared" si="12"/>
        <v/>
      </c>
      <c r="E196" s="155"/>
      <c r="F196" s="181"/>
      <c r="G196" s="155" t="str">
        <f t="shared" si="14"/>
        <v/>
      </c>
      <c r="H196" s="155" t="str">
        <f t="shared" si="15"/>
        <v/>
      </c>
    </row>
    <row r="197" spans="2:8" s="152" customFormat="1" ht="11.25" customHeight="1" x14ac:dyDescent="0.2">
      <c r="B197" s="176"/>
      <c r="C197" s="156"/>
      <c r="D197" s="155" t="str">
        <f t="shared" si="12"/>
        <v/>
      </c>
      <c r="E197" s="155"/>
      <c r="F197" s="181"/>
      <c r="G197" s="155" t="str">
        <f t="shared" si="14"/>
        <v/>
      </c>
      <c r="H197" s="155" t="str">
        <f t="shared" si="15"/>
        <v/>
      </c>
    </row>
    <row r="198" spans="2:8" s="152" customFormat="1" ht="11.25" customHeight="1" x14ac:dyDescent="0.2">
      <c r="B198" s="176"/>
      <c r="C198" s="156"/>
      <c r="D198" s="155" t="str">
        <f t="shared" si="12"/>
        <v/>
      </c>
      <c r="E198" s="155"/>
      <c r="F198" s="181"/>
      <c r="G198" s="155" t="str">
        <f t="shared" si="14"/>
        <v/>
      </c>
      <c r="H198" s="155" t="str">
        <f t="shared" si="15"/>
        <v/>
      </c>
    </row>
    <row r="199" spans="2:8" s="152" customFormat="1" ht="11.25" customHeight="1" x14ac:dyDescent="0.2">
      <c r="B199" s="176"/>
      <c r="C199" s="156"/>
      <c r="D199" s="155" t="str">
        <f t="shared" si="12"/>
        <v/>
      </c>
      <c r="E199" s="155"/>
      <c r="F199" s="181"/>
      <c r="G199" s="155" t="str">
        <f t="shared" si="14"/>
        <v/>
      </c>
      <c r="H199" s="155" t="str">
        <f t="shared" si="15"/>
        <v/>
      </c>
    </row>
    <row r="200" spans="2:8" ht="11.25" customHeight="1" x14ac:dyDescent="0.2">
      <c r="B200" s="176"/>
      <c r="C200" s="156"/>
      <c r="D200" s="155" t="str">
        <f t="shared" si="12"/>
        <v/>
      </c>
      <c r="E200" s="155"/>
      <c r="F200" s="181"/>
      <c r="G200" s="155" t="str">
        <f t="shared" si="14"/>
        <v/>
      </c>
      <c r="H200" s="155" t="str">
        <f t="shared" si="15"/>
        <v/>
      </c>
    </row>
    <row r="201" spans="2:8" ht="11.25" customHeight="1" x14ac:dyDescent="0.2">
      <c r="B201" s="176"/>
      <c r="C201" s="156"/>
      <c r="D201" s="155" t="str">
        <f t="shared" si="12"/>
        <v/>
      </c>
      <c r="E201" s="155"/>
      <c r="F201" s="181"/>
      <c r="G201" s="155" t="str">
        <f t="shared" si="14"/>
        <v/>
      </c>
      <c r="H201" s="155" t="str">
        <f t="shared" si="15"/>
        <v/>
      </c>
    </row>
    <row r="202" spans="2:8" ht="11.25" customHeight="1" x14ac:dyDescent="0.2">
      <c r="B202" s="176"/>
      <c r="C202" s="156"/>
      <c r="D202" s="155" t="str">
        <f t="shared" si="12"/>
        <v/>
      </c>
      <c r="E202" s="155" t="str">
        <f t="shared" ref="E202:E220" si="16">IF(C202=0,"",C202*D202)</f>
        <v/>
      </c>
      <c r="F202" s="181"/>
      <c r="G202" s="155" t="str">
        <f t="shared" si="14"/>
        <v/>
      </c>
      <c r="H202" s="155" t="str">
        <f t="shared" si="15"/>
        <v/>
      </c>
    </row>
    <row r="203" spans="2:8" ht="11.25" customHeight="1" x14ac:dyDescent="0.2">
      <c r="B203" s="176"/>
      <c r="C203" s="156"/>
      <c r="D203" s="155" t="str">
        <f t="shared" si="12"/>
        <v/>
      </c>
      <c r="E203" s="155" t="str">
        <f t="shared" si="16"/>
        <v/>
      </c>
      <c r="F203" s="181"/>
      <c r="G203" s="155" t="str">
        <f t="shared" si="14"/>
        <v/>
      </c>
      <c r="H203" s="155" t="str">
        <f t="shared" si="15"/>
        <v/>
      </c>
    </row>
    <row r="204" spans="2:8" ht="11.25" customHeight="1" x14ac:dyDescent="0.2">
      <c r="B204" s="176"/>
      <c r="C204" s="156"/>
      <c r="D204" s="155" t="str">
        <f t="shared" si="12"/>
        <v/>
      </c>
      <c r="E204" s="155" t="str">
        <f t="shared" si="16"/>
        <v/>
      </c>
      <c r="F204" s="181"/>
      <c r="G204" s="155" t="str">
        <f t="shared" si="14"/>
        <v/>
      </c>
      <c r="H204" s="155" t="str">
        <f t="shared" si="15"/>
        <v/>
      </c>
    </row>
    <row r="205" spans="2:8" ht="11.25" customHeight="1" x14ac:dyDescent="0.2">
      <c r="B205" s="176"/>
      <c r="C205" s="156"/>
      <c r="D205" s="155" t="str">
        <f t="shared" si="12"/>
        <v/>
      </c>
      <c r="E205" s="155" t="str">
        <f t="shared" si="16"/>
        <v/>
      </c>
      <c r="F205" s="181"/>
      <c r="G205" s="155" t="str">
        <f t="shared" si="14"/>
        <v/>
      </c>
      <c r="H205" s="155" t="str">
        <f t="shared" si="15"/>
        <v/>
      </c>
    </row>
    <row r="206" spans="2:8" ht="11.25" customHeight="1" x14ac:dyDescent="0.2">
      <c r="B206" s="176"/>
      <c r="C206" s="156"/>
      <c r="D206" s="155" t="str">
        <f t="shared" si="12"/>
        <v/>
      </c>
      <c r="E206" s="155" t="str">
        <f t="shared" si="16"/>
        <v/>
      </c>
      <c r="F206" s="181"/>
      <c r="G206" s="155" t="str">
        <f t="shared" si="14"/>
        <v/>
      </c>
      <c r="H206" s="155" t="str">
        <f t="shared" si="15"/>
        <v/>
      </c>
    </row>
    <row r="207" spans="2:8" ht="11.25" customHeight="1" x14ac:dyDescent="0.2">
      <c r="B207" s="176"/>
      <c r="C207" s="156"/>
      <c r="D207" s="155" t="str">
        <f t="shared" si="12"/>
        <v/>
      </c>
      <c r="E207" s="155" t="str">
        <f t="shared" si="16"/>
        <v/>
      </c>
      <c r="F207" s="181"/>
      <c r="G207" s="155" t="str">
        <f t="shared" si="14"/>
        <v/>
      </c>
      <c r="H207" s="155" t="str">
        <f t="shared" si="15"/>
        <v/>
      </c>
    </row>
    <row r="208" spans="2:8" ht="11.25" customHeight="1" x14ac:dyDescent="0.2">
      <c r="B208" s="176"/>
      <c r="C208" s="156"/>
      <c r="D208" s="155" t="str">
        <f t="shared" si="12"/>
        <v/>
      </c>
      <c r="E208" s="155" t="str">
        <f t="shared" si="16"/>
        <v/>
      </c>
      <c r="F208" s="181"/>
      <c r="G208" s="155" t="str">
        <f t="shared" si="14"/>
        <v/>
      </c>
      <c r="H208" s="155" t="str">
        <f t="shared" si="15"/>
        <v/>
      </c>
    </row>
    <row r="209" spans="1:8" ht="11.25" customHeight="1" x14ac:dyDescent="0.2">
      <c r="B209" s="176"/>
      <c r="C209" s="156"/>
      <c r="D209" s="155" t="str">
        <f t="shared" si="12"/>
        <v/>
      </c>
      <c r="E209" s="155" t="str">
        <f t="shared" si="16"/>
        <v/>
      </c>
      <c r="F209" s="181"/>
      <c r="G209" s="155" t="str">
        <f t="shared" si="14"/>
        <v/>
      </c>
      <c r="H209" s="155" t="str">
        <f t="shared" si="15"/>
        <v/>
      </c>
    </row>
    <row r="210" spans="1:8" ht="11.25" customHeight="1" x14ac:dyDescent="0.2">
      <c r="B210" s="176"/>
      <c r="C210" s="156"/>
      <c r="D210" s="155" t="str">
        <f t="shared" si="12"/>
        <v/>
      </c>
      <c r="E210" s="155" t="str">
        <f t="shared" si="16"/>
        <v/>
      </c>
      <c r="F210" s="181"/>
      <c r="G210" s="155" t="str">
        <f t="shared" si="14"/>
        <v/>
      </c>
      <c r="H210" s="155" t="str">
        <f t="shared" si="15"/>
        <v/>
      </c>
    </row>
    <row r="211" spans="1:8" ht="11.25" customHeight="1" x14ac:dyDescent="0.2">
      <c r="B211" s="176"/>
      <c r="C211" s="156"/>
      <c r="D211" s="155" t="str">
        <f t="shared" si="12"/>
        <v/>
      </c>
      <c r="E211" s="155" t="str">
        <f t="shared" si="16"/>
        <v/>
      </c>
      <c r="F211" s="181"/>
      <c r="G211" s="155" t="str">
        <f t="shared" si="14"/>
        <v/>
      </c>
      <c r="H211" s="155" t="str">
        <f t="shared" si="15"/>
        <v/>
      </c>
    </row>
    <row r="212" spans="1:8" ht="11.25" customHeight="1" x14ac:dyDescent="0.2">
      <c r="B212" s="176"/>
      <c r="C212" s="156"/>
      <c r="D212" s="155" t="str">
        <f t="shared" si="12"/>
        <v/>
      </c>
      <c r="E212" s="155" t="str">
        <f t="shared" si="16"/>
        <v/>
      </c>
      <c r="F212" s="181"/>
      <c r="G212" s="155" t="str">
        <f t="shared" si="14"/>
        <v/>
      </c>
      <c r="H212" s="155" t="str">
        <f t="shared" si="15"/>
        <v/>
      </c>
    </row>
    <row r="213" spans="1:8" ht="11.25" customHeight="1" x14ac:dyDescent="0.2">
      <c r="B213" s="176"/>
      <c r="C213" s="156"/>
      <c r="D213" s="155" t="str">
        <f t="shared" si="12"/>
        <v/>
      </c>
      <c r="E213" s="155" t="str">
        <f t="shared" si="16"/>
        <v/>
      </c>
      <c r="F213" s="181"/>
      <c r="G213" s="155" t="str">
        <f t="shared" si="14"/>
        <v/>
      </c>
      <c r="H213" s="155" t="str">
        <f t="shared" si="15"/>
        <v/>
      </c>
    </row>
    <row r="214" spans="1:8" ht="11.25" customHeight="1" x14ac:dyDescent="0.2">
      <c r="B214" s="176"/>
      <c r="C214" s="156"/>
      <c r="D214" s="155" t="str">
        <f t="shared" si="12"/>
        <v/>
      </c>
      <c r="E214" s="155" t="str">
        <f t="shared" si="16"/>
        <v/>
      </c>
      <c r="F214" s="181"/>
      <c r="G214" s="155" t="str">
        <f t="shared" si="14"/>
        <v/>
      </c>
      <c r="H214" s="155" t="str">
        <f t="shared" si="15"/>
        <v/>
      </c>
    </row>
    <row r="215" spans="1:8" ht="11.25" customHeight="1" x14ac:dyDescent="0.2">
      <c r="B215" s="176"/>
      <c r="C215" s="156"/>
      <c r="D215" s="155" t="str">
        <f t="shared" si="12"/>
        <v/>
      </c>
      <c r="E215" s="155" t="str">
        <f t="shared" si="16"/>
        <v/>
      </c>
      <c r="F215" s="181"/>
      <c r="G215" s="155" t="str">
        <f t="shared" si="14"/>
        <v/>
      </c>
      <c r="H215" s="155" t="str">
        <f t="shared" si="15"/>
        <v/>
      </c>
    </row>
    <row r="216" spans="1:8" ht="11.25" customHeight="1" x14ac:dyDescent="0.2">
      <c r="B216" s="176"/>
      <c r="C216" s="156"/>
      <c r="D216" s="155" t="str">
        <f t="shared" si="12"/>
        <v/>
      </c>
      <c r="E216" s="155" t="str">
        <f t="shared" si="16"/>
        <v/>
      </c>
      <c r="F216" s="181"/>
      <c r="G216" s="155" t="str">
        <f t="shared" si="14"/>
        <v/>
      </c>
      <c r="H216" s="155" t="str">
        <f t="shared" si="15"/>
        <v/>
      </c>
    </row>
    <row r="217" spans="1:8" ht="11.25" customHeight="1" x14ac:dyDescent="0.2">
      <c r="B217" s="176"/>
      <c r="C217" s="156"/>
      <c r="D217" s="155" t="str">
        <f t="shared" si="12"/>
        <v/>
      </c>
      <c r="E217" s="155" t="str">
        <f t="shared" si="16"/>
        <v/>
      </c>
      <c r="F217" s="181"/>
      <c r="G217" s="155" t="str">
        <f t="shared" si="14"/>
        <v/>
      </c>
      <c r="H217" s="155" t="str">
        <f t="shared" si="15"/>
        <v/>
      </c>
    </row>
    <row r="218" spans="1:8" ht="11.25" customHeight="1" x14ac:dyDescent="0.2">
      <c r="B218" s="176"/>
      <c r="C218" s="156"/>
      <c r="D218" s="155" t="str">
        <f t="shared" si="12"/>
        <v/>
      </c>
      <c r="E218" s="155" t="str">
        <f t="shared" si="16"/>
        <v/>
      </c>
      <c r="F218" s="181"/>
      <c r="G218" s="155" t="str">
        <f t="shared" si="14"/>
        <v/>
      </c>
      <c r="H218" s="155" t="str">
        <f t="shared" si="15"/>
        <v/>
      </c>
    </row>
    <row r="219" spans="1:8" ht="11.25" customHeight="1" x14ac:dyDescent="0.2">
      <c r="B219" s="176"/>
      <c r="C219" s="156"/>
      <c r="D219" s="155" t="str">
        <f t="shared" si="12"/>
        <v/>
      </c>
      <c r="E219" s="155" t="str">
        <f t="shared" si="16"/>
        <v/>
      </c>
      <c r="F219" s="181"/>
      <c r="G219" s="155" t="str">
        <f t="shared" si="14"/>
        <v/>
      </c>
      <c r="H219" s="155" t="str">
        <f t="shared" si="15"/>
        <v/>
      </c>
    </row>
    <row r="220" spans="1:8" ht="12" customHeight="1" thickBot="1" x14ac:dyDescent="0.25">
      <c r="B220" s="284"/>
      <c r="C220" s="285"/>
      <c r="D220" s="155" t="str">
        <f t="shared" si="12"/>
        <v/>
      </c>
      <c r="E220" s="309" t="str">
        <f t="shared" si="16"/>
        <v/>
      </c>
      <c r="F220" s="286"/>
      <c r="G220" s="155" t="str">
        <f t="shared" si="14"/>
        <v/>
      </c>
      <c r="H220" s="155" t="str">
        <f t="shared" si="15"/>
        <v/>
      </c>
    </row>
    <row r="221" spans="1:8" ht="12.75" customHeight="1" thickBot="1" x14ac:dyDescent="0.25">
      <c r="A221" s="159"/>
      <c r="B221" s="287" t="s">
        <v>831</v>
      </c>
      <c r="C221" s="288"/>
      <c r="D221" s="311"/>
      <c r="E221" s="292">
        <f>SUM(E182:E220)</f>
        <v>119.5</v>
      </c>
      <c r="F221" s="287" t="s">
        <v>831</v>
      </c>
      <c r="G221" s="288"/>
      <c r="H221" s="292">
        <f>SUM(H182:H220)</f>
        <v>107.98</v>
      </c>
    </row>
    <row r="222" spans="1:8" ht="12.75" customHeight="1" thickBot="1" x14ac:dyDescent="0.25">
      <c r="A222" s="159"/>
      <c r="B222" s="287" t="s">
        <v>832</v>
      </c>
      <c r="C222" s="288"/>
      <c r="D222" s="288"/>
      <c r="E222" s="321">
        <f>E221*10/100</f>
        <v>11.95</v>
      </c>
      <c r="F222" s="312" t="s">
        <v>832</v>
      </c>
      <c r="G222" s="295"/>
      <c r="H222" s="292">
        <f>H221*10/100</f>
        <v>10.798</v>
      </c>
    </row>
    <row r="223" spans="1:8" ht="12.75" customHeight="1" thickBot="1" x14ac:dyDescent="0.25">
      <c r="A223" s="159"/>
      <c r="B223" s="287" t="s">
        <v>24</v>
      </c>
      <c r="C223" s="288"/>
      <c r="D223" s="288"/>
      <c r="E223" s="155">
        <f>E221+E222</f>
        <v>131.44999999999999</v>
      </c>
      <c r="F223" s="287" t="s">
        <v>24</v>
      </c>
      <c r="G223" s="295"/>
      <c r="H223" s="292">
        <f>H221+H222</f>
        <v>118.77800000000001</v>
      </c>
    </row>
    <row r="224" spans="1:8" ht="12.75" customHeight="1" thickBot="1" x14ac:dyDescent="0.25">
      <c r="B224" s="291" t="s">
        <v>10</v>
      </c>
      <c r="C224" s="288"/>
      <c r="D224" s="288"/>
      <c r="E224" s="322">
        <v>45</v>
      </c>
      <c r="F224" s="287" t="s">
        <v>10</v>
      </c>
      <c r="G224" s="288"/>
      <c r="H224" s="297"/>
    </row>
    <row r="225" spans="2:8" ht="12.75" customHeight="1" thickBot="1" x14ac:dyDescent="0.25">
      <c r="B225" s="298" t="s">
        <v>1261</v>
      </c>
      <c r="C225" s="288"/>
      <c r="D225" s="288"/>
      <c r="E225" s="323">
        <f>E223/E224</f>
        <v>2.9211111111111108</v>
      </c>
      <c r="F225" s="287" t="s">
        <v>1261</v>
      </c>
      <c r="G225" s="288"/>
      <c r="H225" s="292" t="e">
        <f>H223/H224</f>
        <v>#DIV/0!</v>
      </c>
    </row>
    <row r="226" spans="2:8" ht="12" customHeight="1" thickBot="1" x14ac:dyDescent="0.25">
      <c r="B226" s="283" t="s">
        <v>48</v>
      </c>
      <c r="C226" s="315" t="s">
        <v>1811</v>
      </c>
      <c r="D226" s="316"/>
      <c r="E226" s="316"/>
      <c r="F226" s="316"/>
      <c r="G226" s="316"/>
      <c r="H226" s="318"/>
    </row>
    <row r="227" spans="2:8" ht="12" customHeight="1" thickBot="1" x14ac:dyDescent="0.25">
      <c r="B227" s="283" t="s">
        <v>15</v>
      </c>
      <c r="C227" s="302" t="s">
        <v>1878</v>
      </c>
      <c r="D227" s="303"/>
      <c r="E227" s="303"/>
      <c r="F227" s="303"/>
      <c r="G227" s="303"/>
      <c r="H227" s="304"/>
    </row>
    <row r="228" spans="2:8" ht="12" customHeight="1" thickBot="1" x14ac:dyDescent="0.25">
      <c r="B228" s="283" t="s">
        <v>16</v>
      </c>
      <c r="C228" s="302" t="s">
        <v>1879</v>
      </c>
      <c r="D228" s="303"/>
      <c r="E228" s="303"/>
      <c r="F228" s="303"/>
      <c r="G228" s="303"/>
      <c r="H228" s="304"/>
    </row>
    <row r="229" spans="2:8" ht="12" customHeight="1" thickBot="1" x14ac:dyDescent="0.25">
      <c r="B229" s="283" t="s">
        <v>17</v>
      </c>
      <c r="C229" s="302" t="s">
        <v>1880</v>
      </c>
      <c r="D229" s="303"/>
      <c r="E229" s="303"/>
      <c r="F229" s="303"/>
      <c r="G229" s="303"/>
      <c r="H229" s="304"/>
    </row>
    <row r="230" spans="2:8" ht="12" customHeight="1" thickBot="1" x14ac:dyDescent="0.25">
      <c r="B230" s="283" t="s">
        <v>18</v>
      </c>
      <c r="C230" s="302" t="s">
        <v>1881</v>
      </c>
      <c r="D230" s="303"/>
      <c r="E230" s="303"/>
      <c r="F230" s="303"/>
      <c r="G230" s="303"/>
      <c r="H230" s="304"/>
    </row>
    <row r="231" spans="2:8" ht="12" customHeight="1" thickBot="1" x14ac:dyDescent="0.25">
      <c r="B231" s="283" t="s">
        <v>49</v>
      </c>
      <c r="C231" s="302" t="s">
        <v>1882</v>
      </c>
      <c r="D231" s="303"/>
      <c r="E231" s="303"/>
      <c r="F231" s="303"/>
      <c r="G231" s="303"/>
      <c r="H231" s="304"/>
    </row>
    <row r="232" spans="2:8" ht="12" customHeight="1" thickBot="1" x14ac:dyDescent="0.25">
      <c r="B232" s="283" t="s">
        <v>51</v>
      </c>
      <c r="C232" s="302"/>
      <c r="D232" s="303"/>
      <c r="E232" s="303"/>
      <c r="F232" s="303"/>
      <c r="G232" s="303"/>
      <c r="H232" s="304"/>
    </row>
    <row r="233" spans="2:8" ht="12" customHeight="1" thickBot="1" x14ac:dyDescent="0.25">
      <c r="B233" s="283" t="s">
        <v>47</v>
      </c>
      <c r="C233" s="302"/>
      <c r="D233" s="303"/>
      <c r="E233" s="303"/>
      <c r="F233" s="303"/>
      <c r="G233" s="303"/>
      <c r="H233" s="304"/>
    </row>
    <row r="234" spans="2:8" ht="12" customHeight="1" thickBot="1" x14ac:dyDescent="0.25">
      <c r="B234" s="283" t="s">
        <v>50</v>
      </c>
      <c r="C234" s="305"/>
      <c r="D234" s="306"/>
      <c r="E234" s="306"/>
      <c r="F234" s="306"/>
      <c r="G234" s="306"/>
      <c r="H234" s="307"/>
    </row>
    <row r="235" spans="2:8" ht="12" customHeight="1" thickBot="1" x14ac:dyDescent="0.25">
      <c r="B235" s="152"/>
      <c r="C235" s="319"/>
      <c r="D235" s="319"/>
      <c r="E235" s="319"/>
      <c r="F235" s="319"/>
      <c r="G235" s="319"/>
      <c r="H235" s="319"/>
    </row>
    <row r="236" spans="2:8" ht="21.75" customHeight="1" thickBot="1" x14ac:dyDescent="0.4">
      <c r="B236" s="277" t="s">
        <v>1894</v>
      </c>
      <c r="C236" s="278"/>
      <c r="D236" s="278"/>
      <c r="E236" s="278"/>
      <c r="F236" s="278"/>
      <c r="G236" s="278"/>
      <c r="H236" s="279"/>
    </row>
    <row r="237" spans="2:8" ht="12" customHeight="1" thickBot="1" x14ac:dyDescent="0.25">
      <c r="B237" s="280" t="s">
        <v>1891</v>
      </c>
      <c r="C237" s="281"/>
      <c r="D237" s="281"/>
      <c r="E237" s="282"/>
      <c r="F237" s="280" t="s">
        <v>1890</v>
      </c>
      <c r="G237" s="281"/>
      <c r="H237" s="282"/>
    </row>
    <row r="238" spans="2:8" ht="12" customHeight="1" thickBot="1" x14ac:dyDescent="0.25">
      <c r="B238" s="283" t="s">
        <v>1896</v>
      </c>
      <c r="C238" s="283" t="s">
        <v>20</v>
      </c>
      <c r="D238" s="283" t="s">
        <v>21</v>
      </c>
      <c r="E238" s="283" t="s">
        <v>22</v>
      </c>
      <c r="F238" s="283" t="s">
        <v>20</v>
      </c>
      <c r="G238" s="283" t="s">
        <v>21</v>
      </c>
      <c r="H238" s="283" t="s">
        <v>22</v>
      </c>
    </row>
    <row r="239" spans="2:8" s="152" customFormat="1" ht="11.25" customHeight="1" x14ac:dyDescent="0.2">
      <c r="B239" s="176" t="s">
        <v>1681</v>
      </c>
      <c r="C239" s="153"/>
      <c r="D239" s="154">
        <f t="shared" ref="D239:D271" si="17">IF(B239="","",VLOOKUP(B239,INVENTARIO,2))</f>
        <v>7.2</v>
      </c>
      <c r="E239" s="154" t="str">
        <f>IF(C239=0,"",C239*D239)</f>
        <v/>
      </c>
      <c r="F239" s="185">
        <v>8</v>
      </c>
      <c r="G239" s="154">
        <f>D239</f>
        <v>7.2</v>
      </c>
      <c r="H239" s="155">
        <f>IF(F239=0,"",F239*G239)</f>
        <v>57.6</v>
      </c>
    </row>
    <row r="240" spans="2:8" s="152" customFormat="1" ht="11.25" customHeight="1" x14ac:dyDescent="0.2">
      <c r="B240" s="176" t="s">
        <v>1752</v>
      </c>
      <c r="C240" s="156"/>
      <c r="D240" s="155">
        <f t="shared" si="17"/>
        <v>6.7033333333333331</v>
      </c>
      <c r="E240" s="155" t="str">
        <f t="shared" ref="E240:E271" si="18">IF(C240=0,"",C240*D240)</f>
        <v/>
      </c>
      <c r="F240" s="181">
        <v>12</v>
      </c>
      <c r="G240" s="155">
        <f t="shared" ref="G240:G271" si="19">D240</f>
        <v>6.7033333333333331</v>
      </c>
      <c r="H240" s="155">
        <f t="shared" ref="H240:H271" si="20">IF(F240=0,"",F240*G240)</f>
        <v>80.44</v>
      </c>
    </row>
    <row r="241" spans="2:8" s="152" customFormat="1" ht="11.25" customHeight="1" x14ac:dyDescent="0.2">
      <c r="B241" s="176" t="s">
        <v>1753</v>
      </c>
      <c r="C241" s="156"/>
      <c r="D241" s="155">
        <f t="shared" si="17"/>
        <v>4.55</v>
      </c>
      <c r="E241" s="155" t="str">
        <f t="shared" si="18"/>
        <v/>
      </c>
      <c r="F241" s="181">
        <f>5*24</f>
        <v>120</v>
      </c>
      <c r="G241" s="155">
        <f t="shared" si="19"/>
        <v>4.55</v>
      </c>
      <c r="H241" s="155">
        <f t="shared" si="20"/>
        <v>546</v>
      </c>
    </row>
    <row r="242" spans="2:8" s="152" customFormat="1" ht="11.25" customHeight="1" x14ac:dyDescent="0.2">
      <c r="B242" s="176" t="s">
        <v>1756</v>
      </c>
      <c r="C242" s="156"/>
      <c r="D242" s="155">
        <f t="shared" si="17"/>
        <v>22.95</v>
      </c>
      <c r="E242" s="155" t="str">
        <f t="shared" si="18"/>
        <v/>
      </c>
      <c r="F242" s="181">
        <v>3</v>
      </c>
      <c r="G242" s="155">
        <f t="shared" si="19"/>
        <v>22.95</v>
      </c>
      <c r="H242" s="155">
        <f t="shared" si="20"/>
        <v>68.849999999999994</v>
      </c>
    </row>
    <row r="243" spans="2:8" s="152" customFormat="1" ht="11.25" customHeight="1" x14ac:dyDescent="0.2">
      <c r="B243" s="176" t="s">
        <v>1757</v>
      </c>
      <c r="C243" s="156"/>
      <c r="D243" s="155">
        <f t="shared" si="17"/>
        <v>23.1</v>
      </c>
      <c r="E243" s="155" t="str">
        <f t="shared" si="18"/>
        <v/>
      </c>
      <c r="F243" s="181">
        <v>1</v>
      </c>
      <c r="G243" s="155">
        <f t="shared" si="19"/>
        <v>23.1</v>
      </c>
      <c r="H243" s="155">
        <f t="shared" si="20"/>
        <v>23.1</v>
      </c>
    </row>
    <row r="244" spans="2:8" s="152" customFormat="1" ht="11.25" customHeight="1" x14ac:dyDescent="0.2">
      <c r="B244" s="176" t="s">
        <v>1758</v>
      </c>
      <c r="C244" s="156"/>
      <c r="D244" s="155">
        <f t="shared" si="17"/>
        <v>17.190000000000001</v>
      </c>
      <c r="E244" s="155" t="str">
        <f t="shared" si="18"/>
        <v/>
      </c>
      <c r="F244" s="181">
        <v>1</v>
      </c>
      <c r="G244" s="155">
        <f t="shared" si="19"/>
        <v>17.190000000000001</v>
      </c>
      <c r="H244" s="155">
        <f t="shared" si="20"/>
        <v>17.190000000000001</v>
      </c>
    </row>
    <row r="245" spans="2:8" s="152" customFormat="1" ht="11.25" customHeight="1" x14ac:dyDescent="0.2">
      <c r="B245" s="176" t="s">
        <v>1855</v>
      </c>
      <c r="C245" s="156"/>
      <c r="D245" s="155">
        <f t="shared" si="17"/>
        <v>13</v>
      </c>
      <c r="E245" s="155" t="str">
        <f t="shared" si="18"/>
        <v/>
      </c>
      <c r="F245" s="181">
        <v>1</v>
      </c>
      <c r="G245" s="155">
        <f t="shared" si="19"/>
        <v>13</v>
      </c>
      <c r="H245" s="155">
        <f t="shared" si="20"/>
        <v>13</v>
      </c>
    </row>
    <row r="246" spans="2:8" s="152" customFormat="1" x14ac:dyDescent="0.2">
      <c r="B246" s="176" t="s">
        <v>1759</v>
      </c>
      <c r="C246" s="156"/>
      <c r="D246" s="155">
        <f t="shared" si="17"/>
        <v>10.72</v>
      </c>
      <c r="E246" s="155" t="str">
        <f t="shared" si="18"/>
        <v/>
      </c>
      <c r="F246" s="181">
        <v>2</v>
      </c>
      <c r="G246" s="155">
        <f t="shared" si="19"/>
        <v>10.72</v>
      </c>
      <c r="H246" s="155">
        <f t="shared" si="20"/>
        <v>21.44</v>
      </c>
    </row>
    <row r="247" spans="2:8" s="152" customFormat="1" ht="11.25" customHeight="1" x14ac:dyDescent="0.2">
      <c r="B247" s="176" t="s">
        <v>1760</v>
      </c>
      <c r="C247" s="156"/>
      <c r="D247" s="155">
        <f t="shared" si="17"/>
        <v>10.73</v>
      </c>
      <c r="E247" s="155" t="str">
        <f t="shared" si="18"/>
        <v/>
      </c>
      <c r="F247" s="181">
        <v>2</v>
      </c>
      <c r="G247" s="155">
        <f t="shared" si="19"/>
        <v>10.73</v>
      </c>
      <c r="H247" s="155">
        <f t="shared" si="20"/>
        <v>21.46</v>
      </c>
    </row>
    <row r="248" spans="2:8" s="152" customFormat="1" ht="11.25" customHeight="1" x14ac:dyDescent="0.2">
      <c r="B248" s="176" t="s">
        <v>1761</v>
      </c>
      <c r="C248" s="156"/>
      <c r="D248" s="155">
        <f t="shared" si="17"/>
        <v>8.7899999999999991</v>
      </c>
      <c r="E248" s="155" t="str">
        <f t="shared" si="18"/>
        <v/>
      </c>
      <c r="F248" s="181">
        <v>2</v>
      </c>
      <c r="G248" s="155">
        <f t="shared" si="19"/>
        <v>8.7899999999999991</v>
      </c>
      <c r="H248" s="155">
        <f t="shared" si="20"/>
        <v>17.579999999999998</v>
      </c>
    </row>
    <row r="249" spans="2:8" s="152" customFormat="1" ht="11.25" customHeight="1" x14ac:dyDescent="0.2">
      <c r="B249" s="176" t="s">
        <v>1762</v>
      </c>
      <c r="C249" s="156"/>
      <c r="D249" s="155">
        <f t="shared" si="17"/>
        <v>7.66</v>
      </c>
      <c r="E249" s="155" t="str">
        <f t="shared" si="18"/>
        <v/>
      </c>
      <c r="F249" s="181">
        <v>2</v>
      </c>
      <c r="G249" s="155">
        <f t="shared" si="19"/>
        <v>7.66</v>
      </c>
      <c r="H249" s="155">
        <f t="shared" si="20"/>
        <v>15.32</v>
      </c>
    </row>
    <row r="250" spans="2:8" s="152" customFormat="1" ht="11.25" customHeight="1" x14ac:dyDescent="0.2">
      <c r="B250" s="176" t="s">
        <v>1763</v>
      </c>
      <c r="C250" s="156"/>
      <c r="D250" s="155">
        <f t="shared" si="17"/>
        <v>1.7770000000000001E-2</v>
      </c>
      <c r="E250" s="155" t="str">
        <f t="shared" si="18"/>
        <v/>
      </c>
      <c r="F250" s="181">
        <v>6000</v>
      </c>
      <c r="G250" s="155">
        <f t="shared" si="19"/>
        <v>1.7770000000000001E-2</v>
      </c>
      <c r="H250" s="155">
        <f t="shared" si="20"/>
        <v>106.62</v>
      </c>
    </row>
    <row r="251" spans="2:8" s="152" customFormat="1" ht="11.25" customHeight="1" x14ac:dyDescent="0.2">
      <c r="B251" s="176"/>
      <c r="C251" s="156"/>
      <c r="D251" s="155" t="str">
        <f t="shared" si="17"/>
        <v/>
      </c>
      <c r="E251" s="155" t="str">
        <f t="shared" si="18"/>
        <v/>
      </c>
      <c r="F251" s="181"/>
      <c r="G251" s="155" t="str">
        <f t="shared" si="19"/>
        <v/>
      </c>
      <c r="H251" s="155" t="str">
        <f t="shared" si="20"/>
        <v/>
      </c>
    </row>
    <row r="252" spans="2:8" s="152" customFormat="1" ht="11.25" customHeight="1" x14ac:dyDescent="0.2">
      <c r="B252" s="176"/>
      <c r="C252" s="156"/>
      <c r="D252" s="155" t="str">
        <f t="shared" si="17"/>
        <v/>
      </c>
      <c r="E252" s="155" t="str">
        <f t="shared" si="18"/>
        <v/>
      </c>
      <c r="F252" s="181"/>
      <c r="G252" s="155" t="str">
        <f t="shared" si="19"/>
        <v/>
      </c>
      <c r="H252" s="155" t="str">
        <f t="shared" si="20"/>
        <v/>
      </c>
    </row>
    <row r="253" spans="2:8" s="152" customFormat="1" ht="11.25" customHeight="1" x14ac:dyDescent="0.2">
      <c r="B253" s="176"/>
      <c r="C253" s="156"/>
      <c r="D253" s="155" t="str">
        <f t="shared" si="17"/>
        <v/>
      </c>
      <c r="E253" s="155" t="str">
        <f t="shared" si="18"/>
        <v/>
      </c>
      <c r="F253" s="181"/>
      <c r="G253" s="155" t="str">
        <f t="shared" si="19"/>
        <v/>
      </c>
      <c r="H253" s="155" t="str">
        <f t="shared" si="20"/>
        <v/>
      </c>
    </row>
    <row r="254" spans="2:8" s="152" customFormat="1" ht="11.25" customHeight="1" x14ac:dyDescent="0.2">
      <c r="B254" s="176"/>
      <c r="C254" s="156"/>
      <c r="D254" s="155" t="str">
        <f t="shared" si="17"/>
        <v/>
      </c>
      <c r="E254" s="155" t="str">
        <f t="shared" si="18"/>
        <v/>
      </c>
      <c r="F254" s="181"/>
      <c r="G254" s="155" t="str">
        <f t="shared" si="19"/>
        <v/>
      </c>
      <c r="H254" s="155" t="str">
        <f t="shared" si="20"/>
        <v/>
      </c>
    </row>
    <row r="255" spans="2:8" s="152" customFormat="1" ht="11.25" customHeight="1" x14ac:dyDescent="0.2">
      <c r="B255" s="176"/>
      <c r="C255" s="156"/>
      <c r="D255" s="155" t="str">
        <f t="shared" si="17"/>
        <v/>
      </c>
      <c r="E255" s="155" t="str">
        <f t="shared" si="18"/>
        <v/>
      </c>
      <c r="F255" s="181"/>
      <c r="G255" s="155" t="str">
        <f t="shared" si="19"/>
        <v/>
      </c>
      <c r="H255" s="155" t="str">
        <f t="shared" si="20"/>
        <v/>
      </c>
    </row>
    <row r="256" spans="2:8" s="152" customFormat="1" ht="11.25" customHeight="1" x14ac:dyDescent="0.2">
      <c r="B256" s="176"/>
      <c r="C256" s="156"/>
      <c r="D256" s="155" t="str">
        <f t="shared" si="17"/>
        <v/>
      </c>
      <c r="E256" s="155" t="str">
        <f t="shared" si="18"/>
        <v/>
      </c>
      <c r="F256" s="181"/>
      <c r="G256" s="155" t="str">
        <f t="shared" si="19"/>
        <v/>
      </c>
      <c r="H256" s="155" t="str">
        <f t="shared" si="20"/>
        <v/>
      </c>
    </row>
    <row r="257" spans="1:8" s="152" customFormat="1" ht="11.25" customHeight="1" x14ac:dyDescent="0.2">
      <c r="B257" s="176"/>
      <c r="C257" s="156"/>
      <c r="D257" s="155" t="str">
        <f t="shared" si="17"/>
        <v/>
      </c>
      <c r="E257" s="155" t="str">
        <f t="shared" si="18"/>
        <v/>
      </c>
      <c r="F257" s="181"/>
      <c r="G257" s="155" t="str">
        <f t="shared" si="19"/>
        <v/>
      </c>
      <c r="H257" s="155" t="str">
        <f t="shared" si="20"/>
        <v/>
      </c>
    </row>
    <row r="258" spans="1:8" s="152" customFormat="1" ht="11.25" customHeight="1" x14ac:dyDescent="0.2">
      <c r="B258" s="176"/>
      <c r="C258" s="156"/>
      <c r="D258" s="155" t="str">
        <f t="shared" si="17"/>
        <v/>
      </c>
      <c r="E258" s="155" t="str">
        <f t="shared" si="18"/>
        <v/>
      </c>
      <c r="F258" s="181"/>
      <c r="G258" s="155" t="str">
        <f t="shared" si="19"/>
        <v/>
      </c>
      <c r="H258" s="155" t="str">
        <f t="shared" si="20"/>
        <v/>
      </c>
    </row>
    <row r="259" spans="1:8" s="152" customFormat="1" ht="11.25" customHeight="1" x14ac:dyDescent="0.2">
      <c r="B259" s="176"/>
      <c r="C259" s="156"/>
      <c r="D259" s="155" t="str">
        <f t="shared" si="17"/>
        <v/>
      </c>
      <c r="E259" s="155" t="str">
        <f t="shared" si="18"/>
        <v/>
      </c>
      <c r="F259" s="181"/>
      <c r="G259" s="155" t="str">
        <f t="shared" si="19"/>
        <v/>
      </c>
      <c r="H259" s="155" t="str">
        <f t="shared" si="20"/>
        <v/>
      </c>
    </row>
    <row r="260" spans="1:8" s="152" customFormat="1" ht="11.25" customHeight="1" x14ac:dyDescent="0.2">
      <c r="B260" s="176"/>
      <c r="C260" s="156"/>
      <c r="D260" s="155" t="str">
        <f t="shared" si="17"/>
        <v/>
      </c>
      <c r="E260" s="155" t="str">
        <f t="shared" si="18"/>
        <v/>
      </c>
      <c r="F260" s="181"/>
      <c r="G260" s="155" t="str">
        <f t="shared" si="19"/>
        <v/>
      </c>
      <c r="H260" s="155" t="str">
        <f t="shared" si="20"/>
        <v/>
      </c>
    </row>
    <row r="261" spans="1:8" s="152" customFormat="1" ht="11.25" customHeight="1" x14ac:dyDescent="0.2">
      <c r="B261" s="176"/>
      <c r="C261" s="156"/>
      <c r="D261" s="155" t="str">
        <f t="shared" si="17"/>
        <v/>
      </c>
      <c r="E261" s="155" t="str">
        <f t="shared" si="18"/>
        <v/>
      </c>
      <c r="F261" s="181"/>
      <c r="G261" s="155" t="str">
        <f t="shared" si="19"/>
        <v/>
      </c>
      <c r="H261" s="155" t="str">
        <f t="shared" si="20"/>
        <v/>
      </c>
    </row>
    <row r="262" spans="1:8" s="152" customFormat="1" ht="11.25" customHeight="1" x14ac:dyDescent="0.2">
      <c r="B262" s="176"/>
      <c r="C262" s="156"/>
      <c r="D262" s="155" t="str">
        <f t="shared" si="17"/>
        <v/>
      </c>
      <c r="E262" s="155" t="str">
        <f t="shared" si="18"/>
        <v/>
      </c>
      <c r="F262" s="181"/>
      <c r="G262" s="155" t="str">
        <f t="shared" si="19"/>
        <v/>
      </c>
      <c r="H262" s="155" t="str">
        <f t="shared" si="20"/>
        <v/>
      </c>
    </row>
    <row r="263" spans="1:8" ht="11.25" customHeight="1" x14ac:dyDescent="0.2">
      <c r="B263" s="176"/>
      <c r="C263" s="156"/>
      <c r="D263" s="155" t="str">
        <f t="shared" si="17"/>
        <v/>
      </c>
      <c r="E263" s="155" t="str">
        <f t="shared" si="18"/>
        <v/>
      </c>
      <c r="F263" s="181"/>
      <c r="G263" s="155" t="str">
        <f t="shared" si="19"/>
        <v/>
      </c>
      <c r="H263" s="155" t="str">
        <f t="shared" si="20"/>
        <v/>
      </c>
    </row>
    <row r="264" spans="1:8" ht="11.25" customHeight="1" x14ac:dyDescent="0.2">
      <c r="B264" s="176"/>
      <c r="C264" s="156"/>
      <c r="D264" s="155" t="str">
        <f t="shared" si="17"/>
        <v/>
      </c>
      <c r="E264" s="155" t="str">
        <f t="shared" si="18"/>
        <v/>
      </c>
      <c r="F264" s="181"/>
      <c r="G264" s="155" t="str">
        <f t="shared" si="19"/>
        <v/>
      </c>
      <c r="H264" s="155" t="str">
        <f t="shared" si="20"/>
        <v/>
      </c>
    </row>
    <row r="265" spans="1:8" ht="11.25" customHeight="1" x14ac:dyDescent="0.2">
      <c r="B265" s="176"/>
      <c r="C265" s="156"/>
      <c r="D265" s="155" t="str">
        <f t="shared" si="17"/>
        <v/>
      </c>
      <c r="E265" s="155" t="str">
        <f t="shared" si="18"/>
        <v/>
      </c>
      <c r="F265" s="181"/>
      <c r="G265" s="155" t="str">
        <f t="shared" si="19"/>
        <v/>
      </c>
      <c r="H265" s="155" t="str">
        <f t="shared" si="20"/>
        <v/>
      </c>
    </row>
    <row r="266" spans="1:8" ht="11.25" customHeight="1" x14ac:dyDescent="0.2">
      <c r="B266" s="176"/>
      <c r="C266" s="156"/>
      <c r="D266" s="155" t="str">
        <f t="shared" si="17"/>
        <v/>
      </c>
      <c r="E266" s="155" t="str">
        <f t="shared" si="18"/>
        <v/>
      </c>
      <c r="F266" s="181"/>
      <c r="G266" s="155" t="str">
        <f t="shared" si="19"/>
        <v/>
      </c>
      <c r="H266" s="155" t="str">
        <f t="shared" si="20"/>
        <v/>
      </c>
    </row>
    <row r="267" spans="1:8" ht="11.25" customHeight="1" x14ac:dyDescent="0.2">
      <c r="B267" s="176"/>
      <c r="C267" s="156"/>
      <c r="D267" s="155" t="str">
        <f t="shared" si="17"/>
        <v/>
      </c>
      <c r="E267" s="155" t="str">
        <f t="shared" si="18"/>
        <v/>
      </c>
      <c r="F267" s="181"/>
      <c r="G267" s="155" t="str">
        <f t="shared" si="19"/>
        <v/>
      </c>
      <c r="H267" s="155" t="str">
        <f t="shared" si="20"/>
        <v/>
      </c>
    </row>
    <row r="268" spans="1:8" ht="11.25" customHeight="1" x14ac:dyDescent="0.2">
      <c r="B268" s="176"/>
      <c r="C268" s="156"/>
      <c r="D268" s="155" t="str">
        <f t="shared" si="17"/>
        <v/>
      </c>
      <c r="E268" s="155" t="str">
        <f t="shared" si="18"/>
        <v/>
      </c>
      <c r="F268" s="181"/>
      <c r="G268" s="155" t="str">
        <f t="shared" si="19"/>
        <v/>
      </c>
      <c r="H268" s="155" t="str">
        <f t="shared" si="20"/>
        <v/>
      </c>
    </row>
    <row r="269" spans="1:8" ht="11.25" customHeight="1" x14ac:dyDescent="0.2">
      <c r="B269" s="176"/>
      <c r="C269" s="156"/>
      <c r="D269" s="155" t="str">
        <f t="shared" si="17"/>
        <v/>
      </c>
      <c r="E269" s="155" t="str">
        <f t="shared" si="18"/>
        <v/>
      </c>
      <c r="F269" s="181"/>
      <c r="G269" s="155" t="str">
        <f t="shared" si="19"/>
        <v/>
      </c>
      <c r="H269" s="155" t="str">
        <f t="shared" si="20"/>
        <v/>
      </c>
    </row>
    <row r="270" spans="1:8" ht="11.25" customHeight="1" x14ac:dyDescent="0.2">
      <c r="B270" s="176"/>
      <c r="C270" s="156"/>
      <c r="D270" s="155" t="str">
        <f t="shared" si="17"/>
        <v/>
      </c>
      <c r="E270" s="155" t="str">
        <f t="shared" si="18"/>
        <v/>
      </c>
      <c r="F270" s="181"/>
      <c r="G270" s="155" t="str">
        <f t="shared" si="19"/>
        <v/>
      </c>
      <c r="H270" s="155" t="str">
        <f t="shared" si="20"/>
        <v/>
      </c>
    </row>
    <row r="271" spans="1:8" ht="12" customHeight="1" thickBot="1" x14ac:dyDescent="0.25">
      <c r="B271" s="284"/>
      <c r="C271" s="285"/>
      <c r="D271" s="309" t="str">
        <f t="shared" si="17"/>
        <v/>
      </c>
      <c r="E271" s="309" t="str">
        <f t="shared" si="18"/>
        <v/>
      </c>
      <c r="F271" s="286"/>
      <c r="G271" s="309" t="str">
        <f t="shared" si="19"/>
        <v/>
      </c>
      <c r="H271" s="155" t="str">
        <f t="shared" si="20"/>
        <v/>
      </c>
    </row>
    <row r="272" spans="1:8" ht="12.75" customHeight="1" thickBot="1" x14ac:dyDescent="0.25">
      <c r="A272" s="159"/>
      <c r="B272" s="287" t="s">
        <v>831</v>
      </c>
      <c r="C272" s="288"/>
      <c r="D272" s="311"/>
      <c r="E272" s="292">
        <f>SUM(E233:E271)</f>
        <v>0</v>
      </c>
      <c r="F272" s="287" t="s">
        <v>831</v>
      </c>
      <c r="G272" s="288"/>
      <c r="H272" s="292">
        <f>SUM(H239:H271)</f>
        <v>988.60000000000025</v>
      </c>
    </row>
    <row r="273" spans="1:8" ht="12.75" customHeight="1" thickBot="1" x14ac:dyDescent="0.25">
      <c r="A273" s="159"/>
      <c r="B273" s="287" t="s">
        <v>832</v>
      </c>
      <c r="C273" s="288"/>
      <c r="D273" s="288"/>
      <c r="E273" s="292">
        <f>E272*10/100</f>
        <v>0</v>
      </c>
      <c r="F273" s="312" t="s">
        <v>832</v>
      </c>
      <c r="G273" s="295"/>
      <c r="H273" s="292">
        <f>H272*10/100</f>
        <v>98.860000000000014</v>
      </c>
    </row>
    <row r="274" spans="1:8" ht="12.75" customHeight="1" thickBot="1" x14ac:dyDescent="0.25">
      <c r="A274" s="159"/>
      <c r="B274" s="287" t="s">
        <v>24</v>
      </c>
      <c r="C274" s="288"/>
      <c r="D274" s="288"/>
      <c r="E274" s="321">
        <f>E272+E273</f>
        <v>0</v>
      </c>
      <c r="F274" s="287" t="s">
        <v>24</v>
      </c>
      <c r="G274" s="295"/>
      <c r="H274" s="292">
        <f>H272+H273</f>
        <v>1087.4600000000003</v>
      </c>
    </row>
    <row r="275" spans="1:8" ht="12.75" customHeight="1" thickBot="1" x14ac:dyDescent="0.25">
      <c r="B275" s="291" t="s">
        <v>10</v>
      </c>
      <c r="C275" s="288"/>
      <c r="D275" s="288"/>
      <c r="E275" s="322">
        <v>105</v>
      </c>
      <c r="F275" s="287" t="s">
        <v>10</v>
      </c>
      <c r="G275" s="288"/>
      <c r="H275" s="314">
        <v>93</v>
      </c>
    </row>
    <row r="276" spans="1:8" ht="12.75" customHeight="1" thickBot="1" x14ac:dyDescent="0.25">
      <c r="B276" s="298" t="s">
        <v>1261</v>
      </c>
      <c r="C276" s="288"/>
      <c r="D276" s="288"/>
      <c r="E276" s="323">
        <f>E274/E275</f>
        <v>0</v>
      </c>
      <c r="F276" s="287" t="s">
        <v>1261</v>
      </c>
      <c r="G276" s="288"/>
      <c r="H276" s="292">
        <f>H274/H275</f>
        <v>11.693118279569894</v>
      </c>
    </row>
    <row r="277" spans="1:8" ht="12" customHeight="1" thickBot="1" x14ac:dyDescent="0.25">
      <c r="B277" s="283" t="s">
        <v>1264</v>
      </c>
      <c r="C277" s="315" t="s">
        <v>1754</v>
      </c>
      <c r="D277" s="316"/>
      <c r="E277" s="316"/>
      <c r="F277" s="316"/>
      <c r="G277" s="316"/>
      <c r="H277" s="318"/>
    </row>
    <row r="278" spans="1:8" ht="12" customHeight="1" thickBot="1" x14ac:dyDescent="0.25">
      <c r="B278" s="283" t="s">
        <v>1265</v>
      </c>
      <c r="C278" s="302" t="s">
        <v>1856</v>
      </c>
      <c r="D278" s="303"/>
      <c r="E278" s="303"/>
      <c r="F278" s="303"/>
      <c r="G278" s="303"/>
      <c r="H278" s="304"/>
    </row>
    <row r="279" spans="1:8" ht="12" customHeight="1" thickBot="1" x14ac:dyDescent="0.25">
      <c r="B279" s="283" t="s">
        <v>1266</v>
      </c>
      <c r="C279" s="302" t="s">
        <v>1755</v>
      </c>
      <c r="D279" s="303"/>
      <c r="E279" s="303"/>
      <c r="F279" s="303"/>
      <c r="G279" s="303"/>
      <c r="H279" s="304"/>
    </row>
    <row r="280" spans="1:8" ht="12" customHeight="1" thickBot="1" x14ac:dyDescent="0.25">
      <c r="B280" s="283" t="s">
        <v>1267</v>
      </c>
      <c r="C280" s="324"/>
      <c r="D280" s="325"/>
      <c r="E280" s="325"/>
      <c r="F280" s="325"/>
      <c r="G280" s="325"/>
      <c r="H280" s="326"/>
    </row>
    <row r="281" spans="1:8" ht="12" customHeight="1" thickBot="1" x14ac:dyDescent="0.25">
      <c r="B281" s="283"/>
      <c r="C281" s="319"/>
      <c r="D281" s="319"/>
      <c r="E281" s="319"/>
      <c r="F281" s="319"/>
      <c r="G281" s="319"/>
      <c r="H281" s="319"/>
    </row>
    <row r="282" spans="1:8" ht="12" customHeight="1" thickBot="1" x14ac:dyDescent="0.25">
      <c r="B282" s="283"/>
      <c r="C282" s="302"/>
      <c r="D282" s="303"/>
      <c r="E282" s="303"/>
      <c r="F282" s="303"/>
      <c r="G282" s="303"/>
      <c r="H282" s="304"/>
    </row>
    <row r="283" spans="1:8" ht="12" customHeight="1" thickBot="1" x14ac:dyDescent="0.25">
      <c r="B283" s="283"/>
      <c r="C283" s="302"/>
      <c r="D283" s="303"/>
      <c r="E283" s="303"/>
      <c r="F283" s="303"/>
      <c r="G283" s="303"/>
      <c r="H283" s="304"/>
    </row>
    <row r="284" spans="1:8" ht="12" customHeight="1" thickBot="1" x14ac:dyDescent="0.25">
      <c r="B284" s="283"/>
      <c r="C284" s="302"/>
      <c r="D284" s="303"/>
      <c r="E284" s="303"/>
      <c r="F284" s="303"/>
      <c r="G284" s="303"/>
      <c r="H284" s="304"/>
    </row>
    <row r="285" spans="1:8" ht="12" customHeight="1" thickBot="1" x14ac:dyDescent="0.25">
      <c r="B285" s="283"/>
      <c r="C285" s="305"/>
      <c r="D285" s="306"/>
      <c r="E285" s="306"/>
      <c r="F285" s="306"/>
      <c r="G285" s="306"/>
      <c r="H285" s="307"/>
    </row>
    <row r="286" spans="1:8" ht="12" customHeight="1" thickBot="1" x14ac:dyDescent="0.25">
      <c r="B286" s="152"/>
      <c r="C286" s="319"/>
      <c r="D286" s="319"/>
      <c r="E286" s="319"/>
      <c r="F286" s="319"/>
      <c r="G286" s="319"/>
      <c r="H286" s="319"/>
    </row>
    <row r="287" spans="1:8" ht="21.75" customHeight="1" thickBot="1" x14ac:dyDescent="0.4">
      <c r="B287" s="277" t="s">
        <v>1895</v>
      </c>
      <c r="C287" s="278"/>
      <c r="D287" s="278"/>
      <c r="E287" s="278"/>
      <c r="F287" s="278"/>
      <c r="G287" s="278"/>
      <c r="H287" s="279"/>
    </row>
    <row r="288" spans="1:8" ht="12" customHeight="1" thickBot="1" x14ac:dyDescent="0.25">
      <c r="B288" s="280" t="s">
        <v>1891</v>
      </c>
      <c r="C288" s="281"/>
      <c r="D288" s="281"/>
      <c r="E288" s="282"/>
      <c r="F288" s="280" t="s">
        <v>1890</v>
      </c>
      <c r="G288" s="281"/>
      <c r="H288" s="282"/>
    </row>
    <row r="289" spans="2:8" ht="12" customHeight="1" thickBot="1" x14ac:dyDescent="0.25">
      <c r="B289" s="283" t="s">
        <v>1896</v>
      </c>
      <c r="C289" s="283" t="s">
        <v>20</v>
      </c>
      <c r="D289" s="283" t="s">
        <v>21</v>
      </c>
      <c r="E289" s="283" t="s">
        <v>22</v>
      </c>
      <c r="F289" s="283" t="s">
        <v>20</v>
      </c>
      <c r="G289" s="283" t="s">
        <v>21</v>
      </c>
      <c r="H289" s="283" t="s">
        <v>22</v>
      </c>
    </row>
    <row r="290" spans="2:8" s="152" customFormat="1" ht="11.25" customHeight="1" x14ac:dyDescent="0.2">
      <c r="B290" s="175"/>
      <c r="C290" s="160">
        <v>1</v>
      </c>
      <c r="D290" s="154" t="str">
        <f t="shared" ref="D290:D328" si="21">IF(B290="","",VLOOKUP(B290,INVENTARIO,2))</f>
        <v/>
      </c>
      <c r="E290" s="154" t="e">
        <f>IF(C290=0,"",C290*D290)</f>
        <v>#VALUE!</v>
      </c>
      <c r="F290" s="179"/>
      <c r="G290" s="154" t="str">
        <f>D290</f>
        <v/>
      </c>
      <c r="H290" s="155" t="str">
        <f>IF(F290=0,"",F290*G290)</f>
        <v/>
      </c>
    </row>
    <row r="291" spans="2:8" s="152" customFormat="1" ht="11.25" customHeight="1" x14ac:dyDescent="0.2">
      <c r="B291" s="176"/>
      <c r="C291" s="161">
        <v>3000</v>
      </c>
      <c r="D291" s="155" t="str">
        <f t="shared" si="21"/>
        <v/>
      </c>
      <c r="E291" s="155" t="e">
        <f t="shared" ref="E291:E328" si="22">IF(C291=0,"",C291*D291)</f>
        <v>#VALUE!</v>
      </c>
      <c r="F291" s="180"/>
      <c r="G291" s="155" t="str">
        <f t="shared" ref="G291:G328" si="23">D291</f>
        <v/>
      </c>
      <c r="H291" s="155" t="str">
        <f t="shared" ref="H291:H328" si="24">IF(F291=0,"",F291*G291)</f>
        <v/>
      </c>
    </row>
    <row r="292" spans="2:8" s="152" customFormat="1" ht="11.25" customHeight="1" x14ac:dyDescent="0.2">
      <c r="B292" s="176"/>
      <c r="C292" s="161">
        <v>2000</v>
      </c>
      <c r="D292" s="155" t="str">
        <f t="shared" si="21"/>
        <v/>
      </c>
      <c r="E292" s="155" t="e">
        <f t="shared" si="22"/>
        <v>#VALUE!</v>
      </c>
      <c r="F292" s="180"/>
      <c r="G292" s="155" t="str">
        <f t="shared" si="23"/>
        <v/>
      </c>
      <c r="H292" s="155" t="str">
        <f t="shared" si="24"/>
        <v/>
      </c>
    </row>
    <row r="293" spans="2:8" s="152" customFormat="1" ht="11.25" customHeight="1" x14ac:dyDescent="0.2">
      <c r="B293" s="176"/>
      <c r="C293" s="161">
        <v>500</v>
      </c>
      <c r="D293" s="155" t="str">
        <f t="shared" si="21"/>
        <v/>
      </c>
      <c r="E293" s="155" t="e">
        <f t="shared" si="22"/>
        <v>#VALUE!</v>
      </c>
      <c r="F293" s="180"/>
      <c r="G293" s="155" t="str">
        <f t="shared" si="23"/>
        <v/>
      </c>
      <c r="H293" s="155" t="str">
        <f t="shared" si="24"/>
        <v/>
      </c>
    </row>
    <row r="294" spans="2:8" s="152" customFormat="1" ht="11.25" customHeight="1" x14ac:dyDescent="0.2">
      <c r="B294" s="176"/>
      <c r="C294" s="161">
        <v>2000</v>
      </c>
      <c r="D294" s="155" t="str">
        <f t="shared" si="21"/>
        <v/>
      </c>
      <c r="E294" s="155" t="e">
        <f t="shared" si="22"/>
        <v>#VALUE!</v>
      </c>
      <c r="F294" s="180"/>
      <c r="G294" s="155" t="str">
        <f t="shared" si="23"/>
        <v/>
      </c>
      <c r="H294" s="155" t="str">
        <f t="shared" si="24"/>
        <v/>
      </c>
    </row>
    <row r="295" spans="2:8" s="152" customFormat="1" ht="11.25" customHeight="1" x14ac:dyDescent="0.2">
      <c r="B295" s="176"/>
      <c r="C295" s="161">
        <v>10</v>
      </c>
      <c r="D295" s="155" t="str">
        <f t="shared" si="21"/>
        <v/>
      </c>
      <c r="E295" s="155" t="e">
        <f t="shared" si="22"/>
        <v>#VALUE!</v>
      </c>
      <c r="F295" s="180"/>
      <c r="G295" s="155" t="str">
        <f t="shared" si="23"/>
        <v/>
      </c>
      <c r="H295" s="155" t="str">
        <f t="shared" si="24"/>
        <v/>
      </c>
    </row>
    <row r="296" spans="2:8" s="152" customFormat="1" ht="11.25" customHeight="1" x14ac:dyDescent="0.2">
      <c r="B296" s="176"/>
      <c r="C296" s="156"/>
      <c r="D296" s="155" t="str">
        <f t="shared" si="21"/>
        <v/>
      </c>
      <c r="E296" s="155" t="str">
        <f t="shared" si="22"/>
        <v/>
      </c>
      <c r="F296" s="180"/>
      <c r="G296" s="155" t="str">
        <f t="shared" si="23"/>
        <v/>
      </c>
      <c r="H296" s="155" t="str">
        <f t="shared" si="24"/>
        <v/>
      </c>
    </row>
    <row r="297" spans="2:8" ht="11.25" customHeight="1" x14ac:dyDescent="0.2">
      <c r="B297" s="176"/>
      <c r="C297" s="156"/>
      <c r="D297" s="155" t="str">
        <f t="shared" si="21"/>
        <v/>
      </c>
      <c r="E297" s="155" t="str">
        <f t="shared" si="22"/>
        <v/>
      </c>
      <c r="F297" s="180"/>
      <c r="G297" s="155" t="str">
        <f t="shared" si="23"/>
        <v/>
      </c>
      <c r="H297" s="155" t="str">
        <f t="shared" si="24"/>
        <v/>
      </c>
    </row>
    <row r="298" spans="2:8" ht="11.25" customHeight="1" x14ac:dyDescent="0.2">
      <c r="B298" s="176"/>
      <c r="C298" s="156"/>
      <c r="D298" s="155"/>
      <c r="E298" s="155"/>
      <c r="F298" s="180"/>
      <c r="G298" s="155"/>
      <c r="H298" s="155" t="str">
        <f t="shared" si="24"/>
        <v/>
      </c>
    </row>
    <row r="299" spans="2:8" ht="11.25" customHeight="1" x14ac:dyDescent="0.2">
      <c r="B299" s="176"/>
      <c r="C299" s="156"/>
      <c r="D299" s="155" t="str">
        <f t="shared" si="21"/>
        <v/>
      </c>
      <c r="E299" s="155" t="str">
        <f t="shared" si="22"/>
        <v/>
      </c>
      <c r="F299" s="180"/>
      <c r="G299" s="155" t="str">
        <f t="shared" si="23"/>
        <v/>
      </c>
      <c r="H299" s="155" t="str">
        <f t="shared" si="24"/>
        <v/>
      </c>
    </row>
    <row r="300" spans="2:8" ht="11.25" customHeight="1" x14ac:dyDescent="0.2">
      <c r="B300" s="176"/>
      <c r="C300" s="156"/>
      <c r="D300" s="155" t="str">
        <f t="shared" si="21"/>
        <v/>
      </c>
      <c r="E300" s="155" t="str">
        <f t="shared" si="22"/>
        <v/>
      </c>
      <c r="F300" s="180"/>
      <c r="G300" s="155" t="str">
        <f t="shared" si="23"/>
        <v/>
      </c>
      <c r="H300" s="155" t="str">
        <f t="shared" si="24"/>
        <v/>
      </c>
    </row>
    <row r="301" spans="2:8" ht="11.25" customHeight="1" x14ac:dyDescent="0.2">
      <c r="B301" s="176"/>
      <c r="C301" s="156"/>
      <c r="D301" s="155" t="str">
        <f t="shared" si="21"/>
        <v/>
      </c>
      <c r="E301" s="155" t="str">
        <f t="shared" si="22"/>
        <v/>
      </c>
      <c r="F301" s="180"/>
      <c r="G301" s="155" t="str">
        <f t="shared" si="23"/>
        <v/>
      </c>
      <c r="H301" s="155" t="str">
        <f t="shared" si="24"/>
        <v/>
      </c>
    </row>
    <row r="302" spans="2:8" ht="11.25" customHeight="1" x14ac:dyDescent="0.2">
      <c r="B302" s="176"/>
      <c r="C302" s="156"/>
      <c r="D302" s="155" t="str">
        <f t="shared" si="21"/>
        <v/>
      </c>
      <c r="E302" s="155" t="str">
        <f t="shared" si="22"/>
        <v/>
      </c>
      <c r="F302" s="180"/>
      <c r="G302" s="155" t="str">
        <f t="shared" si="23"/>
        <v/>
      </c>
      <c r="H302" s="155" t="str">
        <f t="shared" si="24"/>
        <v/>
      </c>
    </row>
    <row r="303" spans="2:8" ht="11.25" customHeight="1" x14ac:dyDescent="0.2">
      <c r="B303" s="176"/>
      <c r="C303" s="156"/>
      <c r="D303" s="155" t="str">
        <f t="shared" si="21"/>
        <v/>
      </c>
      <c r="E303" s="155" t="str">
        <f t="shared" si="22"/>
        <v/>
      </c>
      <c r="F303" s="180"/>
      <c r="G303" s="155" t="str">
        <f t="shared" si="23"/>
        <v/>
      </c>
      <c r="H303" s="155" t="str">
        <f t="shared" si="24"/>
        <v/>
      </c>
    </row>
    <row r="304" spans="2:8" ht="11.25" customHeight="1" x14ac:dyDescent="0.2">
      <c r="B304" s="176"/>
      <c r="C304" s="156"/>
      <c r="D304" s="155" t="str">
        <f t="shared" si="21"/>
        <v/>
      </c>
      <c r="E304" s="155" t="str">
        <f t="shared" si="22"/>
        <v/>
      </c>
      <c r="F304" s="180"/>
      <c r="G304" s="155" t="str">
        <f t="shared" si="23"/>
        <v/>
      </c>
      <c r="H304" s="155" t="str">
        <f t="shared" si="24"/>
        <v/>
      </c>
    </row>
    <row r="305" spans="2:8" ht="11.25" customHeight="1" x14ac:dyDescent="0.2">
      <c r="B305" s="176"/>
      <c r="C305" s="156"/>
      <c r="D305" s="155" t="str">
        <f t="shared" si="21"/>
        <v/>
      </c>
      <c r="E305" s="155" t="str">
        <f t="shared" si="22"/>
        <v/>
      </c>
      <c r="F305" s="180"/>
      <c r="G305" s="155" t="str">
        <f t="shared" si="23"/>
        <v/>
      </c>
      <c r="H305" s="155" t="str">
        <f t="shared" si="24"/>
        <v/>
      </c>
    </row>
    <row r="306" spans="2:8" ht="11.25" customHeight="1" x14ac:dyDescent="0.2">
      <c r="B306" s="176"/>
      <c r="C306" s="156"/>
      <c r="D306" s="155" t="str">
        <f t="shared" si="21"/>
        <v/>
      </c>
      <c r="E306" s="155" t="str">
        <f t="shared" si="22"/>
        <v/>
      </c>
      <c r="F306" s="180"/>
      <c r="G306" s="155" t="str">
        <f t="shared" si="23"/>
        <v/>
      </c>
      <c r="H306" s="155" t="str">
        <f t="shared" si="24"/>
        <v/>
      </c>
    </row>
    <row r="307" spans="2:8" ht="11.25" customHeight="1" x14ac:dyDescent="0.2">
      <c r="B307" s="176"/>
      <c r="C307" s="156"/>
      <c r="D307" s="155" t="str">
        <f t="shared" si="21"/>
        <v/>
      </c>
      <c r="E307" s="155" t="str">
        <f t="shared" si="22"/>
        <v/>
      </c>
      <c r="F307" s="180"/>
      <c r="G307" s="155" t="str">
        <f t="shared" si="23"/>
        <v/>
      </c>
      <c r="H307" s="155" t="str">
        <f t="shared" si="24"/>
        <v/>
      </c>
    </row>
    <row r="308" spans="2:8" ht="11.25" customHeight="1" x14ac:dyDescent="0.2">
      <c r="B308" s="176"/>
      <c r="C308" s="156"/>
      <c r="D308" s="155" t="str">
        <f t="shared" si="21"/>
        <v/>
      </c>
      <c r="E308" s="155" t="str">
        <f t="shared" si="22"/>
        <v/>
      </c>
      <c r="F308" s="180"/>
      <c r="G308" s="155" t="str">
        <f t="shared" si="23"/>
        <v/>
      </c>
      <c r="H308" s="155" t="str">
        <f t="shared" si="24"/>
        <v/>
      </c>
    </row>
    <row r="309" spans="2:8" ht="11.25" customHeight="1" x14ac:dyDescent="0.2">
      <c r="B309" s="176"/>
      <c r="C309" s="156"/>
      <c r="D309" s="155" t="str">
        <f t="shared" si="21"/>
        <v/>
      </c>
      <c r="E309" s="155" t="str">
        <f t="shared" si="22"/>
        <v/>
      </c>
      <c r="F309" s="180"/>
      <c r="G309" s="155" t="str">
        <f t="shared" si="23"/>
        <v/>
      </c>
      <c r="H309" s="155" t="str">
        <f t="shared" si="24"/>
        <v/>
      </c>
    </row>
    <row r="310" spans="2:8" ht="11.25" customHeight="1" x14ac:dyDescent="0.2">
      <c r="B310" s="176"/>
      <c r="C310" s="156"/>
      <c r="D310" s="155" t="str">
        <f t="shared" si="21"/>
        <v/>
      </c>
      <c r="E310" s="155" t="str">
        <f t="shared" si="22"/>
        <v/>
      </c>
      <c r="F310" s="180"/>
      <c r="G310" s="155" t="str">
        <f t="shared" si="23"/>
        <v/>
      </c>
      <c r="H310" s="155" t="str">
        <f t="shared" si="24"/>
        <v/>
      </c>
    </row>
    <row r="311" spans="2:8" ht="11.25" customHeight="1" x14ac:dyDescent="0.2">
      <c r="B311" s="176"/>
      <c r="C311" s="156"/>
      <c r="D311" s="155" t="str">
        <f t="shared" si="21"/>
        <v/>
      </c>
      <c r="E311" s="155" t="str">
        <f t="shared" si="22"/>
        <v/>
      </c>
      <c r="F311" s="180"/>
      <c r="G311" s="155" t="str">
        <f t="shared" si="23"/>
        <v/>
      </c>
      <c r="H311" s="155" t="str">
        <f t="shared" si="24"/>
        <v/>
      </c>
    </row>
    <row r="312" spans="2:8" ht="11.25" customHeight="1" x14ac:dyDescent="0.2">
      <c r="B312" s="176"/>
      <c r="C312" s="156"/>
      <c r="D312" s="155" t="str">
        <f t="shared" si="21"/>
        <v/>
      </c>
      <c r="E312" s="155" t="str">
        <f t="shared" si="22"/>
        <v/>
      </c>
      <c r="F312" s="180"/>
      <c r="G312" s="155" t="str">
        <f t="shared" si="23"/>
        <v/>
      </c>
      <c r="H312" s="155" t="str">
        <f t="shared" si="24"/>
        <v/>
      </c>
    </row>
    <row r="313" spans="2:8" ht="11.25" customHeight="1" x14ac:dyDescent="0.2">
      <c r="B313" s="176"/>
      <c r="C313" s="156"/>
      <c r="D313" s="155" t="str">
        <f t="shared" si="21"/>
        <v/>
      </c>
      <c r="E313" s="155" t="str">
        <f t="shared" si="22"/>
        <v/>
      </c>
      <c r="F313" s="180"/>
      <c r="G313" s="155" t="str">
        <f t="shared" si="23"/>
        <v/>
      </c>
      <c r="H313" s="155" t="str">
        <f t="shared" si="24"/>
        <v/>
      </c>
    </row>
    <row r="314" spans="2:8" ht="11.25" customHeight="1" x14ac:dyDescent="0.2">
      <c r="B314" s="176"/>
      <c r="C314" s="156"/>
      <c r="D314" s="155" t="str">
        <f t="shared" si="21"/>
        <v/>
      </c>
      <c r="E314" s="155" t="str">
        <f t="shared" si="22"/>
        <v/>
      </c>
      <c r="F314" s="180"/>
      <c r="G314" s="155" t="str">
        <f t="shared" si="23"/>
        <v/>
      </c>
      <c r="H314" s="155" t="str">
        <f t="shared" si="24"/>
        <v/>
      </c>
    </row>
    <row r="315" spans="2:8" ht="11.25" customHeight="1" x14ac:dyDescent="0.2">
      <c r="B315" s="176"/>
      <c r="C315" s="156"/>
      <c r="D315" s="155" t="str">
        <f t="shared" si="21"/>
        <v/>
      </c>
      <c r="E315" s="155" t="str">
        <f t="shared" si="22"/>
        <v/>
      </c>
      <c r="F315" s="180"/>
      <c r="G315" s="155" t="str">
        <f t="shared" si="23"/>
        <v/>
      </c>
      <c r="H315" s="155" t="str">
        <f t="shared" si="24"/>
        <v/>
      </c>
    </row>
    <row r="316" spans="2:8" ht="11.25" customHeight="1" x14ac:dyDescent="0.2">
      <c r="B316" s="176"/>
      <c r="C316" s="156"/>
      <c r="D316" s="155" t="str">
        <f t="shared" si="21"/>
        <v/>
      </c>
      <c r="E316" s="155" t="str">
        <f t="shared" si="22"/>
        <v/>
      </c>
      <c r="F316" s="180"/>
      <c r="G316" s="155" t="str">
        <f t="shared" si="23"/>
        <v/>
      </c>
      <c r="H316" s="155" t="str">
        <f t="shared" si="24"/>
        <v/>
      </c>
    </row>
    <row r="317" spans="2:8" ht="11.25" customHeight="1" x14ac:dyDescent="0.2">
      <c r="B317" s="176"/>
      <c r="C317" s="156"/>
      <c r="D317" s="155" t="str">
        <f t="shared" si="21"/>
        <v/>
      </c>
      <c r="E317" s="155" t="str">
        <f t="shared" si="22"/>
        <v/>
      </c>
      <c r="F317" s="180"/>
      <c r="G317" s="155" t="str">
        <f t="shared" si="23"/>
        <v/>
      </c>
      <c r="H317" s="155" t="str">
        <f t="shared" si="24"/>
        <v/>
      </c>
    </row>
    <row r="318" spans="2:8" ht="11.25" customHeight="1" x14ac:dyDescent="0.2">
      <c r="B318" s="176"/>
      <c r="C318" s="156"/>
      <c r="D318" s="155" t="str">
        <f t="shared" si="21"/>
        <v/>
      </c>
      <c r="E318" s="155" t="str">
        <f t="shared" si="22"/>
        <v/>
      </c>
      <c r="F318" s="180"/>
      <c r="G318" s="155" t="str">
        <f t="shared" si="23"/>
        <v/>
      </c>
      <c r="H318" s="155" t="str">
        <f t="shared" si="24"/>
        <v/>
      </c>
    </row>
    <row r="319" spans="2:8" ht="11.25" customHeight="1" x14ac:dyDescent="0.2">
      <c r="B319" s="176"/>
      <c r="C319" s="156"/>
      <c r="D319" s="155" t="str">
        <f t="shared" si="21"/>
        <v/>
      </c>
      <c r="E319" s="155" t="str">
        <f t="shared" si="22"/>
        <v/>
      </c>
      <c r="F319" s="180"/>
      <c r="G319" s="155" t="str">
        <f t="shared" si="23"/>
        <v/>
      </c>
      <c r="H319" s="155" t="str">
        <f t="shared" si="24"/>
        <v/>
      </c>
    </row>
    <row r="320" spans="2:8" ht="11.25" customHeight="1" x14ac:dyDescent="0.2">
      <c r="B320" s="176"/>
      <c r="C320" s="156"/>
      <c r="D320" s="155" t="str">
        <f t="shared" si="21"/>
        <v/>
      </c>
      <c r="E320" s="155" t="str">
        <f t="shared" si="22"/>
        <v/>
      </c>
      <c r="F320" s="180"/>
      <c r="G320" s="155" t="str">
        <f t="shared" si="23"/>
        <v/>
      </c>
      <c r="H320" s="155" t="str">
        <f t="shared" si="24"/>
        <v/>
      </c>
    </row>
    <row r="321" spans="1:8" ht="11.25" customHeight="1" x14ac:dyDescent="0.2">
      <c r="B321" s="176"/>
      <c r="C321" s="156"/>
      <c r="D321" s="155" t="str">
        <f t="shared" si="21"/>
        <v/>
      </c>
      <c r="E321" s="155" t="str">
        <f t="shared" si="22"/>
        <v/>
      </c>
      <c r="F321" s="180"/>
      <c r="G321" s="155" t="str">
        <f t="shared" si="23"/>
        <v/>
      </c>
      <c r="H321" s="155" t="str">
        <f t="shared" si="24"/>
        <v/>
      </c>
    </row>
    <row r="322" spans="1:8" ht="11.25" customHeight="1" x14ac:dyDescent="0.2">
      <c r="B322" s="176"/>
      <c r="C322" s="156"/>
      <c r="D322" s="155" t="str">
        <f t="shared" si="21"/>
        <v/>
      </c>
      <c r="E322" s="155" t="str">
        <f t="shared" si="22"/>
        <v/>
      </c>
      <c r="F322" s="180"/>
      <c r="G322" s="155" t="str">
        <f t="shared" si="23"/>
        <v/>
      </c>
      <c r="H322" s="155" t="str">
        <f t="shared" si="24"/>
        <v/>
      </c>
    </row>
    <row r="323" spans="1:8" ht="11.25" customHeight="1" x14ac:dyDescent="0.2">
      <c r="B323" s="176"/>
      <c r="C323" s="156"/>
      <c r="D323" s="155" t="str">
        <f t="shared" si="21"/>
        <v/>
      </c>
      <c r="E323" s="155" t="str">
        <f t="shared" si="22"/>
        <v/>
      </c>
      <c r="F323" s="180"/>
      <c r="G323" s="155" t="str">
        <f t="shared" si="23"/>
        <v/>
      </c>
      <c r="H323" s="155" t="str">
        <f t="shared" si="24"/>
        <v/>
      </c>
    </row>
    <row r="324" spans="1:8" ht="11.25" customHeight="1" x14ac:dyDescent="0.2">
      <c r="B324" s="176"/>
      <c r="C324" s="156"/>
      <c r="D324" s="155" t="str">
        <f t="shared" si="21"/>
        <v/>
      </c>
      <c r="E324" s="155" t="str">
        <f t="shared" si="22"/>
        <v/>
      </c>
      <c r="F324" s="180"/>
      <c r="G324" s="155" t="str">
        <f t="shared" si="23"/>
        <v/>
      </c>
      <c r="H324" s="155" t="str">
        <f t="shared" si="24"/>
        <v/>
      </c>
    </row>
    <row r="325" spans="1:8" ht="11.25" customHeight="1" x14ac:dyDescent="0.2">
      <c r="B325" s="176"/>
      <c r="C325" s="156"/>
      <c r="D325" s="155" t="str">
        <f t="shared" si="21"/>
        <v/>
      </c>
      <c r="E325" s="155" t="str">
        <f t="shared" si="22"/>
        <v/>
      </c>
      <c r="F325" s="180"/>
      <c r="G325" s="155" t="str">
        <f t="shared" si="23"/>
        <v/>
      </c>
      <c r="H325" s="155" t="str">
        <f t="shared" si="24"/>
        <v/>
      </c>
    </row>
    <row r="326" spans="1:8" ht="11.25" customHeight="1" x14ac:dyDescent="0.2">
      <c r="B326" s="176"/>
      <c r="C326" s="156"/>
      <c r="D326" s="155" t="str">
        <f t="shared" si="21"/>
        <v/>
      </c>
      <c r="E326" s="155" t="str">
        <f t="shared" si="22"/>
        <v/>
      </c>
      <c r="F326" s="180"/>
      <c r="G326" s="155" t="str">
        <f t="shared" si="23"/>
        <v/>
      </c>
      <c r="H326" s="155" t="str">
        <f t="shared" si="24"/>
        <v/>
      </c>
    </row>
    <row r="327" spans="1:8" ht="11.25" customHeight="1" x14ac:dyDescent="0.2">
      <c r="B327" s="176"/>
      <c r="C327" s="156"/>
      <c r="D327" s="155" t="str">
        <f t="shared" si="21"/>
        <v/>
      </c>
      <c r="E327" s="155" t="str">
        <f t="shared" si="22"/>
        <v/>
      </c>
      <c r="F327" s="180"/>
      <c r="G327" s="155" t="str">
        <f t="shared" si="23"/>
        <v/>
      </c>
      <c r="H327" s="155" t="str">
        <f t="shared" si="24"/>
        <v/>
      </c>
    </row>
    <row r="328" spans="1:8" ht="12" customHeight="1" thickBot="1" x14ac:dyDescent="0.25">
      <c r="B328" s="284"/>
      <c r="C328" s="285"/>
      <c r="D328" s="309" t="str">
        <f t="shared" si="21"/>
        <v/>
      </c>
      <c r="E328" s="309" t="str">
        <f t="shared" si="22"/>
        <v/>
      </c>
      <c r="F328" s="327"/>
      <c r="G328" s="309" t="str">
        <f t="shared" si="23"/>
        <v/>
      </c>
      <c r="H328" s="155" t="str">
        <f t="shared" si="24"/>
        <v/>
      </c>
    </row>
    <row r="329" spans="1:8" ht="12.75" customHeight="1" thickBot="1" x14ac:dyDescent="0.25">
      <c r="A329" s="159"/>
      <c r="B329" s="287" t="s">
        <v>831</v>
      </c>
      <c r="C329" s="288"/>
      <c r="D329" s="289"/>
      <c r="E329" s="290" t="e">
        <f>SUM(E290:E328)</f>
        <v>#VALUE!</v>
      </c>
      <c r="F329" s="291" t="s">
        <v>831</v>
      </c>
      <c r="G329" s="288"/>
      <c r="H329" s="292">
        <f>SUM(H290:H328)</f>
        <v>0</v>
      </c>
    </row>
    <row r="330" spans="1:8" ht="12.75" customHeight="1" thickBot="1" x14ac:dyDescent="0.25">
      <c r="A330" s="159"/>
      <c r="B330" s="287" t="s">
        <v>832</v>
      </c>
      <c r="C330" s="288"/>
      <c r="D330" s="293"/>
      <c r="E330" s="292" t="e">
        <f>E329*10/100</f>
        <v>#VALUE!</v>
      </c>
      <c r="F330" s="294" t="s">
        <v>832</v>
      </c>
      <c r="G330" s="295"/>
      <c r="H330" s="292">
        <f>H329*10/100</f>
        <v>0</v>
      </c>
    </row>
    <row r="331" spans="1:8" ht="12.75" customHeight="1" thickBot="1" x14ac:dyDescent="0.25">
      <c r="A331" s="159"/>
      <c r="B331" s="287" t="s">
        <v>24</v>
      </c>
      <c r="C331" s="288"/>
      <c r="D331" s="288"/>
      <c r="E331" s="154" t="e">
        <f>E329+E330</f>
        <v>#VALUE!</v>
      </c>
      <c r="F331" s="291" t="s">
        <v>24</v>
      </c>
      <c r="G331" s="295"/>
      <c r="H331" s="292">
        <f>H329+H330</f>
        <v>0</v>
      </c>
    </row>
    <row r="332" spans="1:8" ht="12.75" customHeight="1" thickBot="1" x14ac:dyDescent="0.25">
      <c r="B332" s="291" t="s">
        <v>10</v>
      </c>
      <c r="C332" s="288"/>
      <c r="D332" s="288"/>
      <c r="E332" s="328">
        <v>105</v>
      </c>
      <c r="F332" s="291" t="s">
        <v>10</v>
      </c>
      <c r="G332" s="288"/>
      <c r="H332" s="297"/>
    </row>
    <row r="333" spans="1:8" ht="12.75" customHeight="1" thickBot="1" x14ac:dyDescent="0.25">
      <c r="B333" s="298" t="s">
        <v>1261</v>
      </c>
      <c r="C333" s="288"/>
      <c r="D333" s="288"/>
      <c r="E333" s="292" t="e">
        <f>E331/E332</f>
        <v>#VALUE!</v>
      </c>
      <c r="F333" s="291" t="s">
        <v>1261</v>
      </c>
      <c r="G333" s="288"/>
      <c r="H333" s="292" t="e">
        <f>H331/H332</f>
        <v>#DIV/0!</v>
      </c>
    </row>
    <row r="334" spans="1:8" ht="12" customHeight="1" thickBot="1" x14ac:dyDescent="0.25">
      <c r="B334" s="283"/>
      <c r="C334" s="315" t="s">
        <v>1751</v>
      </c>
      <c r="D334" s="316"/>
      <c r="E334" s="316"/>
      <c r="F334" s="316"/>
      <c r="G334" s="316"/>
      <c r="H334" s="318"/>
    </row>
    <row r="335" spans="1:8" ht="12" customHeight="1" thickBot="1" x14ac:dyDescent="0.25">
      <c r="B335" s="283" t="s">
        <v>1268</v>
      </c>
      <c r="C335" s="302"/>
      <c r="D335" s="303"/>
      <c r="E335" s="303"/>
      <c r="F335" s="303"/>
      <c r="G335" s="303"/>
      <c r="H335" s="304"/>
    </row>
    <row r="336" spans="1:8" ht="12" customHeight="1" thickBot="1" x14ac:dyDescent="0.25">
      <c r="B336" s="283" t="s">
        <v>1269</v>
      </c>
      <c r="C336" s="302"/>
      <c r="D336" s="303"/>
      <c r="E336" s="303"/>
      <c r="F336" s="303"/>
      <c r="G336" s="303"/>
      <c r="H336" s="304"/>
    </row>
    <row r="337" spans="2:8" ht="12" customHeight="1" thickBot="1" x14ac:dyDescent="0.25">
      <c r="B337" s="283" t="s">
        <v>1270</v>
      </c>
      <c r="C337" s="302"/>
      <c r="D337" s="303"/>
      <c r="E337" s="303"/>
      <c r="F337" s="303"/>
      <c r="G337" s="303"/>
      <c r="H337" s="304"/>
    </row>
    <row r="338" spans="2:8" ht="12" customHeight="1" thickBot="1" x14ac:dyDescent="0.25">
      <c r="B338" s="283" t="s">
        <v>1271</v>
      </c>
      <c r="C338" s="302"/>
      <c r="D338" s="303"/>
      <c r="E338" s="303"/>
      <c r="F338" s="303"/>
      <c r="G338" s="303"/>
      <c r="H338" s="304"/>
    </row>
    <row r="339" spans="2:8" ht="12" customHeight="1" thickBot="1" x14ac:dyDescent="0.25">
      <c r="B339" s="283"/>
      <c r="C339" s="302"/>
      <c r="D339" s="303"/>
      <c r="E339" s="303"/>
      <c r="F339" s="303"/>
      <c r="G339" s="303"/>
      <c r="H339" s="304"/>
    </row>
    <row r="340" spans="2:8" ht="12" customHeight="1" thickBot="1" x14ac:dyDescent="0.25">
      <c r="B340" s="283"/>
      <c r="C340" s="302"/>
      <c r="D340" s="303"/>
      <c r="E340" s="303"/>
      <c r="F340" s="303"/>
      <c r="G340" s="303"/>
      <c r="H340" s="304"/>
    </row>
    <row r="341" spans="2:8" ht="12" customHeight="1" thickBot="1" x14ac:dyDescent="0.25">
      <c r="B341" s="283"/>
      <c r="C341" s="302"/>
      <c r="D341" s="303"/>
      <c r="E341" s="303"/>
      <c r="F341" s="303"/>
      <c r="G341" s="303"/>
      <c r="H341" s="304"/>
    </row>
    <row r="342" spans="2:8" ht="12" customHeight="1" thickBot="1" x14ac:dyDescent="0.25">
      <c r="B342" s="283"/>
      <c r="C342" s="305"/>
      <c r="D342" s="306"/>
      <c r="E342" s="306"/>
      <c r="F342" s="306"/>
      <c r="G342" s="306"/>
      <c r="H342" s="307"/>
    </row>
  </sheetData>
  <autoFilter ref="B1:B342"/>
  <mergeCells count="72">
    <mergeCell ref="C60:H60"/>
    <mergeCell ref="B5:H5"/>
    <mergeCell ref="B6:H6"/>
    <mergeCell ref="B7:E7"/>
    <mergeCell ref="F7:H7"/>
    <mergeCell ref="C53:H53"/>
    <mergeCell ref="C54:H54"/>
    <mergeCell ref="C55:H55"/>
    <mergeCell ref="C56:H56"/>
    <mergeCell ref="C57:H57"/>
    <mergeCell ref="C58:H58"/>
    <mergeCell ref="C59:H59"/>
    <mergeCell ref="C118:H118"/>
    <mergeCell ref="C61:H61"/>
    <mergeCell ref="B62:H62"/>
    <mergeCell ref="B63:E63"/>
    <mergeCell ref="F63:H63"/>
    <mergeCell ref="C111:H111"/>
    <mergeCell ref="C112:H112"/>
    <mergeCell ref="C113:H113"/>
    <mergeCell ref="C114:H114"/>
    <mergeCell ref="C115:H115"/>
    <mergeCell ref="C116:H116"/>
    <mergeCell ref="C117:H117"/>
    <mergeCell ref="C176:H176"/>
    <mergeCell ref="C119:H119"/>
    <mergeCell ref="B121:H121"/>
    <mergeCell ref="B122:E122"/>
    <mergeCell ref="F122:H122"/>
    <mergeCell ref="C169:H169"/>
    <mergeCell ref="C170:H170"/>
    <mergeCell ref="C171:H171"/>
    <mergeCell ref="C172:H172"/>
    <mergeCell ref="C173:H173"/>
    <mergeCell ref="C174:H174"/>
    <mergeCell ref="C175:H175"/>
    <mergeCell ref="C233:H233"/>
    <mergeCell ref="C177:H177"/>
    <mergeCell ref="B179:H179"/>
    <mergeCell ref="B180:E180"/>
    <mergeCell ref="F180:H180"/>
    <mergeCell ref="C226:H226"/>
    <mergeCell ref="C227:H227"/>
    <mergeCell ref="C228:H228"/>
    <mergeCell ref="C229:H229"/>
    <mergeCell ref="C230:H230"/>
    <mergeCell ref="C231:H231"/>
    <mergeCell ref="C232:H232"/>
    <mergeCell ref="C285:H285"/>
    <mergeCell ref="C234:H234"/>
    <mergeCell ref="B236:H236"/>
    <mergeCell ref="B237:E237"/>
    <mergeCell ref="F237:H237"/>
    <mergeCell ref="C277:H277"/>
    <mergeCell ref="C278:H278"/>
    <mergeCell ref="C279:H279"/>
    <mergeCell ref="C280:H280"/>
    <mergeCell ref="C282:H282"/>
    <mergeCell ref="C283:H283"/>
    <mergeCell ref="C284:H284"/>
    <mergeCell ref="C342:H342"/>
    <mergeCell ref="B287:H287"/>
    <mergeCell ref="B288:E288"/>
    <mergeCell ref="F288:H288"/>
    <mergeCell ref="C334:H334"/>
    <mergeCell ref="C335:H335"/>
    <mergeCell ref="C336:H336"/>
    <mergeCell ref="C337:H337"/>
    <mergeCell ref="C338:H338"/>
    <mergeCell ref="C339:H339"/>
    <mergeCell ref="C340:H340"/>
    <mergeCell ref="C341:H341"/>
  </mergeCells>
  <dataValidations count="1">
    <dataValidation type="list" allowBlank="1" showInputMessage="1" showErrorMessage="1" sqref="B290:B328 B239:B271 B124:B163 B9:B47 B65:B105 B182:B220">
      <formula1>ARTICULO</formula1>
    </dataValidation>
  </dataValidations>
  <pageMargins left="0.59055118110236227" right="0.74803149606299213" top="0.98425196850393704" bottom="0.98425196850393704" header="0" footer="0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42"/>
  <sheetViews>
    <sheetView showGridLines="0" tabSelected="1" zoomScale="85" zoomScaleNormal="85" zoomScaleSheetLayoutView="100" workbookViewId="0">
      <selection activeCell="D8" sqref="D8"/>
    </sheetView>
  </sheetViews>
  <sheetFormatPr baseColWidth="10" defaultColWidth="11.42578125" defaultRowHeight="11.25" x14ac:dyDescent="0.2"/>
  <cols>
    <col min="1" max="1" width="3.28515625" style="152" customWidth="1"/>
    <col min="2" max="2" width="35.140625" style="125" bestFit="1" customWidth="1"/>
    <col min="3" max="3" width="11.28515625" style="125" customWidth="1"/>
    <col min="4" max="4" width="15.5703125" style="125" customWidth="1"/>
    <col min="5" max="5" width="15.28515625" style="125" customWidth="1"/>
    <col min="6" max="6" width="27.42578125" style="125" customWidth="1"/>
    <col min="7" max="7" width="11.42578125" style="125"/>
    <col min="8" max="8" width="21.28515625" style="125" customWidth="1"/>
    <col min="9" max="20" width="11.42578125" style="152"/>
    <col min="21" max="16384" width="11.42578125" style="125"/>
  </cols>
  <sheetData>
    <row r="1" spans="1:20" ht="12" customHeight="1" x14ac:dyDescent="0.2">
      <c r="B1" s="152"/>
      <c r="C1" s="329"/>
      <c r="D1" s="152"/>
      <c r="E1" s="152"/>
      <c r="F1" s="152"/>
      <c r="G1" s="152"/>
      <c r="H1" s="152"/>
    </row>
    <row r="2" spans="1:20" ht="15.75" customHeight="1" x14ac:dyDescent="0.25">
      <c r="B2" s="330"/>
      <c r="C2" s="329"/>
      <c r="D2" s="152"/>
      <c r="E2" s="152"/>
      <c r="F2" s="152"/>
      <c r="G2" s="152"/>
      <c r="H2" s="152"/>
    </row>
    <row r="3" spans="1:20" ht="11.25" customHeight="1" x14ac:dyDescent="0.2">
      <c r="A3" s="158"/>
      <c r="B3" s="152"/>
      <c r="C3" s="152"/>
      <c r="D3" s="152"/>
      <c r="E3" s="152"/>
      <c r="F3" s="152"/>
      <c r="G3" s="152"/>
      <c r="H3" s="152"/>
    </row>
    <row r="4" spans="1:20" ht="15.75" customHeight="1" x14ac:dyDescent="0.25">
      <c r="B4" s="331"/>
      <c r="C4" s="152"/>
      <c r="D4" s="152"/>
      <c r="E4" s="152"/>
      <c r="F4" s="152"/>
      <c r="G4" s="152"/>
      <c r="H4" s="152"/>
    </row>
    <row r="5" spans="1:20" s="124" customFormat="1" ht="12" customHeight="1" thickBot="1" x14ac:dyDescent="0.25">
      <c r="A5" s="157"/>
      <c r="B5" s="332"/>
      <c r="C5" s="332"/>
      <c r="D5" s="332"/>
      <c r="E5" s="332"/>
      <c r="F5" s="332"/>
      <c r="G5" s="332"/>
      <c r="H5" s="332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</row>
    <row r="6" spans="1:20" ht="21.75" customHeight="1" thickBot="1" x14ac:dyDescent="0.4">
      <c r="B6" s="277" t="s">
        <v>1888</v>
      </c>
      <c r="C6" s="278"/>
      <c r="D6" s="278"/>
      <c r="E6" s="278"/>
      <c r="F6" s="278"/>
      <c r="G6" s="278"/>
      <c r="H6" s="279"/>
    </row>
    <row r="7" spans="1:20" ht="12" customHeight="1" thickBot="1" x14ac:dyDescent="0.25">
      <c r="B7" s="280" t="s">
        <v>1891</v>
      </c>
      <c r="C7" s="281"/>
      <c r="D7" s="281"/>
      <c r="E7" s="282"/>
      <c r="F7" s="280" t="s">
        <v>1890</v>
      </c>
      <c r="G7" s="281"/>
      <c r="H7" s="282"/>
    </row>
    <row r="8" spans="1:20" ht="12" customHeight="1" thickBot="1" x14ac:dyDescent="0.25">
      <c r="B8" s="283" t="s">
        <v>1896</v>
      </c>
      <c r="C8" s="283" t="s">
        <v>20</v>
      </c>
      <c r="D8" s="283" t="s">
        <v>21</v>
      </c>
      <c r="E8" s="283" t="s">
        <v>22</v>
      </c>
      <c r="F8" s="283" t="s">
        <v>20</v>
      </c>
      <c r="G8" s="283" t="s">
        <v>21</v>
      </c>
      <c r="H8" s="283" t="s">
        <v>22</v>
      </c>
    </row>
    <row r="9" spans="1:20" s="152" customFormat="1" ht="11.25" customHeight="1" x14ac:dyDescent="0.2">
      <c r="B9" s="175" t="s">
        <v>1771</v>
      </c>
      <c r="C9" s="160">
        <v>1000</v>
      </c>
      <c r="D9" s="154">
        <f t="shared" ref="D9:D47" si="0">IF(B9="","",VLOOKUP(B9,INVENTARIO,2))</f>
        <v>0</v>
      </c>
      <c r="E9" s="154">
        <f>IF(C9=0,"",C9*D9)</f>
        <v>0</v>
      </c>
      <c r="F9" s="179">
        <v>2000</v>
      </c>
      <c r="G9" s="154">
        <f>D9</f>
        <v>0</v>
      </c>
      <c r="H9" s="155">
        <f>IF(F9=0,"",F9*G9)</f>
        <v>0</v>
      </c>
    </row>
    <row r="10" spans="1:20" s="152" customFormat="1" ht="11.25" customHeight="1" x14ac:dyDescent="0.2">
      <c r="B10" s="176" t="s">
        <v>1671</v>
      </c>
      <c r="C10" s="161">
        <v>400</v>
      </c>
      <c r="D10" s="155">
        <f t="shared" si="0"/>
        <v>0</v>
      </c>
      <c r="E10" s="155">
        <f t="shared" ref="E10:E47" si="1">IF(C10=0,"",C10*D10)</f>
        <v>0</v>
      </c>
      <c r="F10" s="180">
        <v>3</v>
      </c>
      <c r="G10" s="155">
        <f t="shared" ref="G10:G47" si="2">D10</f>
        <v>0</v>
      </c>
      <c r="H10" s="155">
        <f t="shared" ref="H10:H47" si="3">IF(F10=0,"",F10*G10)</f>
        <v>0</v>
      </c>
    </row>
    <row r="11" spans="1:20" s="152" customFormat="1" ht="11.25" customHeight="1" x14ac:dyDescent="0.2">
      <c r="B11" s="176" t="s">
        <v>1672</v>
      </c>
      <c r="C11" s="161">
        <v>1500</v>
      </c>
      <c r="D11" s="155">
        <f t="shared" si="0"/>
        <v>5.9819999999999998E-2</v>
      </c>
      <c r="E11" s="155">
        <f t="shared" si="1"/>
        <v>89.73</v>
      </c>
      <c r="F11" s="180">
        <v>3000</v>
      </c>
      <c r="G11" s="155">
        <f t="shared" si="2"/>
        <v>5.9819999999999998E-2</v>
      </c>
      <c r="H11" s="155">
        <f t="shared" si="3"/>
        <v>179.46</v>
      </c>
    </row>
    <row r="12" spans="1:20" s="152" customFormat="1" ht="11.25" customHeight="1" x14ac:dyDescent="0.2">
      <c r="B12" s="176" t="s">
        <v>1673</v>
      </c>
      <c r="C12" s="161">
        <v>1500</v>
      </c>
      <c r="D12" s="155">
        <f t="shared" si="0"/>
        <v>1.5090000000000001E-2</v>
      </c>
      <c r="E12" s="155">
        <f t="shared" si="1"/>
        <v>22.635000000000002</v>
      </c>
      <c r="F12" s="180">
        <v>1500</v>
      </c>
      <c r="G12" s="155">
        <f t="shared" si="2"/>
        <v>1.5090000000000001E-2</v>
      </c>
      <c r="H12" s="155">
        <f t="shared" si="3"/>
        <v>22.635000000000002</v>
      </c>
    </row>
    <row r="13" spans="1:20" s="152" customFormat="1" ht="11.25" customHeight="1" x14ac:dyDescent="0.2">
      <c r="B13" s="176" t="s">
        <v>1674</v>
      </c>
      <c r="C13" s="161">
        <v>1500</v>
      </c>
      <c r="D13" s="155">
        <f t="shared" si="0"/>
        <v>3.3000000000000002E-2</v>
      </c>
      <c r="E13" s="155">
        <f t="shared" si="1"/>
        <v>49.5</v>
      </c>
      <c r="F13" s="180">
        <v>1500</v>
      </c>
      <c r="G13" s="155">
        <f t="shared" si="2"/>
        <v>3.3000000000000002E-2</v>
      </c>
      <c r="H13" s="155">
        <f t="shared" si="3"/>
        <v>49.5</v>
      </c>
    </row>
    <row r="14" spans="1:20" s="152" customFormat="1" ht="11.25" customHeight="1" x14ac:dyDescent="0.2">
      <c r="B14" s="176" t="s">
        <v>1675</v>
      </c>
      <c r="C14" s="156"/>
      <c r="D14" s="155">
        <f t="shared" si="0"/>
        <v>2.8000000000000001E-2</v>
      </c>
      <c r="E14" s="155" t="str">
        <f t="shared" si="1"/>
        <v/>
      </c>
      <c r="F14" s="181">
        <v>1500</v>
      </c>
      <c r="G14" s="155">
        <f t="shared" si="2"/>
        <v>2.8000000000000001E-2</v>
      </c>
      <c r="H14" s="155">
        <f t="shared" si="3"/>
        <v>42</v>
      </c>
    </row>
    <row r="15" spans="1:20" s="152" customFormat="1" ht="11.25" customHeight="1" x14ac:dyDescent="0.2">
      <c r="B15" s="176" t="s">
        <v>1676</v>
      </c>
      <c r="C15" s="156"/>
      <c r="D15" s="155">
        <f t="shared" si="0"/>
        <v>3.7945E-2</v>
      </c>
      <c r="E15" s="155" t="str">
        <f t="shared" si="1"/>
        <v/>
      </c>
      <c r="F15" s="181">
        <v>500</v>
      </c>
      <c r="G15" s="155">
        <f t="shared" si="2"/>
        <v>3.7945E-2</v>
      </c>
      <c r="H15" s="155">
        <f t="shared" si="3"/>
        <v>18.9725</v>
      </c>
    </row>
    <row r="16" spans="1:20" s="152" customFormat="1" ht="11.25" customHeight="1" x14ac:dyDescent="0.2">
      <c r="B16" s="176" t="s">
        <v>1677</v>
      </c>
      <c r="C16" s="156"/>
      <c r="D16" s="155">
        <f t="shared" si="0"/>
        <v>8.2874999999999997E-3</v>
      </c>
      <c r="E16" s="155" t="str">
        <f t="shared" si="1"/>
        <v/>
      </c>
      <c r="F16" s="181">
        <v>800</v>
      </c>
      <c r="G16" s="155">
        <f t="shared" si="2"/>
        <v>8.2874999999999997E-3</v>
      </c>
      <c r="H16" s="155">
        <f t="shared" si="3"/>
        <v>6.63</v>
      </c>
    </row>
    <row r="17" spans="2:8" s="152" customFormat="1" x14ac:dyDescent="0.2">
      <c r="B17" s="176" t="s">
        <v>1678</v>
      </c>
      <c r="C17" s="156"/>
      <c r="D17" s="155">
        <f t="shared" si="0"/>
        <v>4.9000000000000007E-3</v>
      </c>
      <c r="E17" s="155" t="str">
        <f t="shared" si="1"/>
        <v/>
      </c>
      <c r="F17" s="181">
        <v>1000</v>
      </c>
      <c r="G17" s="155">
        <f t="shared" si="2"/>
        <v>4.9000000000000007E-3</v>
      </c>
      <c r="H17" s="155">
        <f t="shared" si="3"/>
        <v>4.9000000000000004</v>
      </c>
    </row>
    <row r="18" spans="2:8" s="152" customFormat="1" ht="11.25" customHeight="1" x14ac:dyDescent="0.2">
      <c r="B18" s="176" t="s">
        <v>1679</v>
      </c>
      <c r="C18" s="156"/>
      <c r="D18" s="155">
        <f t="shared" si="0"/>
        <v>6.7499999999999999E-3</v>
      </c>
      <c r="E18" s="155" t="str">
        <f t="shared" si="1"/>
        <v/>
      </c>
      <c r="F18" s="181">
        <v>5000</v>
      </c>
      <c r="G18" s="155">
        <f t="shared" si="2"/>
        <v>6.7499999999999999E-3</v>
      </c>
      <c r="H18" s="155">
        <f t="shared" si="3"/>
        <v>33.75</v>
      </c>
    </row>
    <row r="19" spans="2:8" s="152" customFormat="1" ht="11.25" customHeight="1" x14ac:dyDescent="0.2">
      <c r="B19" s="176" t="s">
        <v>1680</v>
      </c>
      <c r="C19" s="156"/>
      <c r="D19" s="155">
        <f t="shared" si="0"/>
        <v>1.5</v>
      </c>
      <c r="E19" s="155" t="str">
        <f t="shared" si="1"/>
        <v/>
      </c>
      <c r="F19" s="181">
        <v>120</v>
      </c>
      <c r="G19" s="155">
        <f t="shared" si="2"/>
        <v>1.5</v>
      </c>
      <c r="H19" s="155">
        <f t="shared" si="3"/>
        <v>180</v>
      </c>
    </row>
    <row r="20" spans="2:8" s="152" customFormat="1" ht="11.25" customHeight="1" x14ac:dyDescent="0.2">
      <c r="B20" s="176" t="s">
        <v>1681</v>
      </c>
      <c r="C20" s="156"/>
      <c r="D20" s="155">
        <f t="shared" si="0"/>
        <v>7.2</v>
      </c>
      <c r="E20" s="155" t="str">
        <f t="shared" si="1"/>
        <v/>
      </c>
      <c r="F20" s="181">
        <v>2</v>
      </c>
      <c r="G20" s="155">
        <f t="shared" si="2"/>
        <v>7.2</v>
      </c>
      <c r="H20" s="155">
        <f t="shared" si="3"/>
        <v>14.4</v>
      </c>
    </row>
    <row r="21" spans="2:8" s="152" customFormat="1" ht="11.25" customHeight="1" x14ac:dyDescent="0.2">
      <c r="B21" s="176" t="s">
        <v>1670</v>
      </c>
      <c r="C21" s="156"/>
      <c r="D21" s="155">
        <f t="shared" si="0"/>
        <v>4.5090000000000005E-2</v>
      </c>
      <c r="E21" s="155" t="str">
        <f t="shared" si="1"/>
        <v/>
      </c>
      <c r="F21" s="181"/>
      <c r="G21" s="155">
        <f t="shared" si="2"/>
        <v>4.5090000000000005E-2</v>
      </c>
      <c r="H21" s="155" t="str">
        <f t="shared" si="3"/>
        <v/>
      </c>
    </row>
    <row r="22" spans="2:8" s="152" customFormat="1" ht="11.25" customHeight="1" x14ac:dyDescent="0.2">
      <c r="B22" s="176"/>
      <c r="C22" s="156"/>
      <c r="D22" s="155" t="str">
        <f t="shared" si="0"/>
        <v/>
      </c>
      <c r="E22" s="155" t="str">
        <f t="shared" si="1"/>
        <v/>
      </c>
      <c r="F22" s="181"/>
      <c r="G22" s="155" t="str">
        <f t="shared" si="2"/>
        <v/>
      </c>
      <c r="H22" s="155" t="str">
        <f t="shared" si="3"/>
        <v/>
      </c>
    </row>
    <row r="23" spans="2:8" s="152" customFormat="1" ht="11.25" customHeight="1" x14ac:dyDescent="0.2">
      <c r="B23" s="176"/>
      <c r="C23" s="156"/>
      <c r="D23" s="155" t="str">
        <f t="shared" si="0"/>
        <v/>
      </c>
      <c r="E23" s="155" t="str">
        <f t="shared" si="1"/>
        <v/>
      </c>
      <c r="F23" s="181"/>
      <c r="G23" s="155" t="str">
        <f t="shared" si="2"/>
        <v/>
      </c>
      <c r="H23" s="155"/>
    </row>
    <row r="24" spans="2:8" s="152" customFormat="1" ht="11.25" customHeight="1" x14ac:dyDescent="0.2">
      <c r="B24" s="176"/>
      <c r="C24" s="156"/>
      <c r="D24" s="155" t="str">
        <f t="shared" si="0"/>
        <v/>
      </c>
      <c r="E24" s="155" t="str">
        <f t="shared" si="1"/>
        <v/>
      </c>
      <c r="F24" s="181"/>
      <c r="G24" s="155" t="str">
        <f t="shared" si="2"/>
        <v/>
      </c>
      <c r="H24" s="155"/>
    </row>
    <row r="25" spans="2:8" s="152" customFormat="1" ht="11.25" customHeight="1" x14ac:dyDescent="0.2">
      <c r="B25" s="176"/>
      <c r="C25" s="156"/>
      <c r="D25" s="155" t="str">
        <f t="shared" si="0"/>
        <v/>
      </c>
      <c r="E25" s="155" t="str">
        <f t="shared" si="1"/>
        <v/>
      </c>
      <c r="F25" s="181"/>
      <c r="G25" s="155" t="str">
        <f t="shared" si="2"/>
        <v/>
      </c>
      <c r="H25" s="155"/>
    </row>
    <row r="26" spans="2:8" s="152" customFormat="1" ht="11.25" customHeight="1" x14ac:dyDescent="0.2">
      <c r="B26" s="176"/>
      <c r="C26" s="156"/>
      <c r="D26" s="155" t="str">
        <f t="shared" si="0"/>
        <v/>
      </c>
      <c r="E26" s="155" t="str">
        <f t="shared" si="1"/>
        <v/>
      </c>
      <c r="F26" s="181"/>
      <c r="G26" s="155" t="str">
        <f t="shared" si="2"/>
        <v/>
      </c>
      <c r="H26" s="155"/>
    </row>
    <row r="27" spans="2:8" s="152" customFormat="1" ht="11.25" customHeight="1" x14ac:dyDescent="0.2">
      <c r="B27" s="176"/>
      <c r="C27" s="156"/>
      <c r="D27" s="155" t="str">
        <f t="shared" si="0"/>
        <v/>
      </c>
      <c r="E27" s="155" t="str">
        <f t="shared" si="1"/>
        <v/>
      </c>
      <c r="F27" s="181"/>
      <c r="G27" s="155" t="str">
        <f t="shared" si="2"/>
        <v/>
      </c>
      <c r="H27" s="155"/>
    </row>
    <row r="28" spans="2:8" s="152" customFormat="1" ht="11.25" customHeight="1" x14ac:dyDescent="0.2">
      <c r="B28" s="176"/>
      <c r="C28" s="156"/>
      <c r="D28" s="155" t="str">
        <f t="shared" si="0"/>
        <v/>
      </c>
      <c r="E28" s="155" t="str">
        <f t="shared" si="1"/>
        <v/>
      </c>
      <c r="F28" s="181"/>
      <c r="G28" s="155" t="str">
        <f t="shared" si="2"/>
        <v/>
      </c>
      <c r="H28" s="155"/>
    </row>
    <row r="29" spans="2:8" s="152" customFormat="1" ht="11.25" customHeight="1" x14ac:dyDescent="0.2">
      <c r="B29" s="176"/>
      <c r="C29" s="156"/>
      <c r="D29" s="155" t="str">
        <f t="shared" si="0"/>
        <v/>
      </c>
      <c r="E29" s="155" t="str">
        <f t="shared" si="1"/>
        <v/>
      </c>
      <c r="F29" s="181"/>
      <c r="G29" s="155" t="str">
        <f t="shared" si="2"/>
        <v/>
      </c>
      <c r="H29" s="155"/>
    </row>
    <row r="30" spans="2:8" s="152" customFormat="1" ht="11.25" customHeight="1" x14ac:dyDescent="0.2">
      <c r="B30" s="176"/>
      <c r="C30" s="156"/>
      <c r="D30" s="155" t="str">
        <f t="shared" si="0"/>
        <v/>
      </c>
      <c r="E30" s="155" t="str">
        <f t="shared" si="1"/>
        <v/>
      </c>
      <c r="F30" s="181"/>
      <c r="G30" s="155" t="str">
        <f t="shared" si="2"/>
        <v/>
      </c>
      <c r="H30" s="155"/>
    </row>
    <row r="31" spans="2:8" s="152" customFormat="1" ht="11.25" customHeight="1" x14ac:dyDescent="0.2">
      <c r="B31" s="176"/>
      <c r="C31" s="156"/>
      <c r="D31" s="155" t="str">
        <f t="shared" si="0"/>
        <v/>
      </c>
      <c r="E31" s="155" t="str">
        <f t="shared" si="1"/>
        <v/>
      </c>
      <c r="F31" s="181"/>
      <c r="G31" s="155" t="str">
        <f t="shared" si="2"/>
        <v/>
      </c>
      <c r="H31" s="155"/>
    </row>
    <row r="32" spans="2:8" s="152" customFormat="1" ht="11.25" customHeight="1" x14ac:dyDescent="0.2">
      <c r="B32" s="176"/>
      <c r="C32" s="156"/>
      <c r="D32" s="155" t="str">
        <f t="shared" si="0"/>
        <v/>
      </c>
      <c r="E32" s="155" t="str">
        <f t="shared" si="1"/>
        <v/>
      </c>
      <c r="F32" s="181"/>
      <c r="G32" s="155" t="str">
        <f t="shared" si="2"/>
        <v/>
      </c>
      <c r="H32" s="155" t="str">
        <f t="shared" si="3"/>
        <v/>
      </c>
    </row>
    <row r="33" spans="1:8" s="152" customFormat="1" ht="11.25" customHeight="1" x14ac:dyDescent="0.2">
      <c r="B33" s="176"/>
      <c r="C33" s="156"/>
      <c r="D33" s="155" t="str">
        <f t="shared" si="0"/>
        <v/>
      </c>
      <c r="E33" s="155" t="str">
        <f t="shared" si="1"/>
        <v/>
      </c>
      <c r="F33" s="181"/>
      <c r="G33" s="155" t="str">
        <f t="shared" si="2"/>
        <v/>
      </c>
      <c r="H33" s="155" t="str">
        <f t="shared" si="3"/>
        <v/>
      </c>
    </row>
    <row r="34" spans="1:8" s="152" customFormat="1" ht="11.25" customHeight="1" x14ac:dyDescent="0.2">
      <c r="B34" s="176"/>
      <c r="C34" s="156"/>
      <c r="D34" s="155" t="str">
        <f t="shared" si="0"/>
        <v/>
      </c>
      <c r="E34" s="155" t="str">
        <f t="shared" si="1"/>
        <v/>
      </c>
      <c r="F34" s="181"/>
      <c r="G34" s="155" t="str">
        <f t="shared" si="2"/>
        <v/>
      </c>
      <c r="H34" s="155" t="str">
        <f t="shared" si="3"/>
        <v/>
      </c>
    </row>
    <row r="35" spans="1:8" s="152" customFormat="1" ht="11.25" customHeight="1" x14ac:dyDescent="0.2">
      <c r="B35" s="176"/>
      <c r="C35" s="156"/>
      <c r="D35" s="155" t="str">
        <f t="shared" si="0"/>
        <v/>
      </c>
      <c r="E35" s="155" t="str">
        <f t="shared" si="1"/>
        <v/>
      </c>
      <c r="F35" s="181"/>
      <c r="G35" s="155" t="str">
        <f t="shared" si="2"/>
        <v/>
      </c>
      <c r="H35" s="155" t="str">
        <f t="shared" si="3"/>
        <v/>
      </c>
    </row>
    <row r="36" spans="1:8" s="152" customFormat="1" ht="11.25" customHeight="1" x14ac:dyDescent="0.2">
      <c r="B36" s="176"/>
      <c r="C36" s="156"/>
      <c r="D36" s="155" t="str">
        <f t="shared" si="0"/>
        <v/>
      </c>
      <c r="E36" s="155" t="str">
        <f t="shared" si="1"/>
        <v/>
      </c>
      <c r="F36" s="181"/>
      <c r="G36" s="155" t="str">
        <f t="shared" si="2"/>
        <v/>
      </c>
      <c r="H36" s="155" t="str">
        <f t="shared" si="3"/>
        <v/>
      </c>
    </row>
    <row r="37" spans="1:8" s="152" customFormat="1" ht="11.25" customHeight="1" x14ac:dyDescent="0.2">
      <c r="B37" s="176"/>
      <c r="C37" s="156"/>
      <c r="D37" s="155" t="str">
        <f t="shared" si="0"/>
        <v/>
      </c>
      <c r="E37" s="155" t="str">
        <f t="shared" si="1"/>
        <v/>
      </c>
      <c r="F37" s="181"/>
      <c r="G37" s="155" t="str">
        <f t="shared" si="2"/>
        <v/>
      </c>
      <c r="H37" s="155" t="str">
        <f t="shared" si="3"/>
        <v/>
      </c>
    </row>
    <row r="38" spans="1:8" s="152" customFormat="1" ht="11.25" customHeight="1" x14ac:dyDescent="0.2">
      <c r="B38" s="176"/>
      <c r="C38" s="156"/>
      <c r="D38" s="155" t="str">
        <f t="shared" si="0"/>
        <v/>
      </c>
      <c r="E38" s="155" t="str">
        <f t="shared" si="1"/>
        <v/>
      </c>
      <c r="F38" s="181"/>
      <c r="G38" s="155" t="str">
        <f t="shared" si="2"/>
        <v/>
      </c>
      <c r="H38" s="155" t="str">
        <f t="shared" si="3"/>
        <v/>
      </c>
    </row>
    <row r="39" spans="1:8" s="152" customFormat="1" ht="11.25" customHeight="1" x14ac:dyDescent="0.2">
      <c r="B39" s="176"/>
      <c r="C39" s="156"/>
      <c r="D39" s="155" t="str">
        <f t="shared" si="0"/>
        <v/>
      </c>
      <c r="E39" s="155" t="str">
        <f t="shared" si="1"/>
        <v/>
      </c>
      <c r="F39" s="181"/>
      <c r="G39" s="155" t="str">
        <f t="shared" si="2"/>
        <v/>
      </c>
      <c r="H39" s="155" t="str">
        <f t="shared" si="3"/>
        <v/>
      </c>
    </row>
    <row r="40" spans="1:8" s="152" customFormat="1" ht="11.25" customHeight="1" x14ac:dyDescent="0.2">
      <c r="B40" s="176"/>
      <c r="C40" s="156"/>
      <c r="D40" s="155" t="str">
        <f t="shared" si="0"/>
        <v/>
      </c>
      <c r="E40" s="155" t="str">
        <f t="shared" si="1"/>
        <v/>
      </c>
      <c r="F40" s="181"/>
      <c r="G40" s="155" t="str">
        <f t="shared" si="2"/>
        <v/>
      </c>
      <c r="H40" s="155" t="str">
        <f t="shared" si="3"/>
        <v/>
      </c>
    </row>
    <row r="41" spans="1:8" s="152" customFormat="1" ht="11.25" customHeight="1" x14ac:dyDescent="0.2">
      <c r="B41" s="176"/>
      <c r="C41" s="156"/>
      <c r="D41" s="155" t="str">
        <f t="shared" si="0"/>
        <v/>
      </c>
      <c r="E41" s="155" t="str">
        <f t="shared" si="1"/>
        <v/>
      </c>
      <c r="F41" s="181"/>
      <c r="G41" s="155" t="str">
        <f t="shared" si="2"/>
        <v/>
      </c>
      <c r="H41" s="155" t="str">
        <f t="shared" si="3"/>
        <v/>
      </c>
    </row>
    <row r="42" spans="1:8" s="152" customFormat="1" ht="11.25" customHeight="1" x14ac:dyDescent="0.2">
      <c r="B42" s="176"/>
      <c r="C42" s="156"/>
      <c r="D42" s="155" t="str">
        <f t="shared" si="0"/>
        <v/>
      </c>
      <c r="E42" s="155" t="str">
        <f t="shared" si="1"/>
        <v/>
      </c>
      <c r="F42" s="181"/>
      <c r="G42" s="155" t="str">
        <f t="shared" si="2"/>
        <v/>
      </c>
      <c r="H42" s="155" t="str">
        <f t="shared" si="3"/>
        <v/>
      </c>
    </row>
    <row r="43" spans="1:8" s="152" customFormat="1" ht="11.25" customHeight="1" x14ac:dyDescent="0.2">
      <c r="B43" s="176"/>
      <c r="C43" s="156"/>
      <c r="D43" s="155" t="str">
        <f t="shared" si="0"/>
        <v/>
      </c>
      <c r="E43" s="155" t="str">
        <f t="shared" si="1"/>
        <v/>
      </c>
      <c r="F43" s="181"/>
      <c r="G43" s="155" t="str">
        <f t="shared" si="2"/>
        <v/>
      </c>
      <c r="H43" s="155" t="str">
        <f t="shared" si="3"/>
        <v/>
      </c>
    </row>
    <row r="44" spans="1:8" ht="11.25" customHeight="1" x14ac:dyDescent="0.2">
      <c r="B44" s="176"/>
      <c r="C44" s="156"/>
      <c r="D44" s="155" t="str">
        <f t="shared" si="0"/>
        <v/>
      </c>
      <c r="E44" s="155" t="str">
        <f t="shared" si="1"/>
        <v/>
      </c>
      <c r="F44" s="181"/>
      <c r="G44" s="155" t="str">
        <f t="shared" si="2"/>
        <v/>
      </c>
      <c r="H44" s="155" t="str">
        <f t="shared" si="3"/>
        <v/>
      </c>
    </row>
    <row r="45" spans="1:8" ht="11.25" customHeight="1" x14ac:dyDescent="0.2">
      <c r="B45" s="176"/>
      <c r="C45" s="156"/>
      <c r="D45" s="155" t="str">
        <f t="shared" si="0"/>
        <v/>
      </c>
      <c r="E45" s="155" t="str">
        <f t="shared" si="1"/>
        <v/>
      </c>
      <c r="F45" s="181"/>
      <c r="G45" s="155" t="str">
        <f t="shared" si="2"/>
        <v/>
      </c>
      <c r="H45" s="155" t="str">
        <f t="shared" si="3"/>
        <v/>
      </c>
    </row>
    <row r="46" spans="1:8" ht="11.25" customHeight="1" x14ac:dyDescent="0.2">
      <c r="B46" s="176"/>
      <c r="C46" s="156"/>
      <c r="D46" s="155" t="str">
        <f t="shared" si="0"/>
        <v/>
      </c>
      <c r="E46" s="155" t="str">
        <f t="shared" si="1"/>
        <v/>
      </c>
      <c r="F46" s="181"/>
      <c r="G46" s="155" t="str">
        <f t="shared" si="2"/>
        <v/>
      </c>
      <c r="H46" s="155" t="str">
        <f t="shared" si="3"/>
        <v/>
      </c>
    </row>
    <row r="47" spans="1:8" ht="12" customHeight="1" thickBot="1" x14ac:dyDescent="0.25">
      <c r="B47" s="284"/>
      <c r="C47" s="285"/>
      <c r="D47" s="155" t="str">
        <f t="shared" si="0"/>
        <v/>
      </c>
      <c r="E47" s="155" t="str">
        <f t="shared" si="1"/>
        <v/>
      </c>
      <c r="F47" s="286"/>
      <c r="G47" s="155" t="str">
        <f t="shared" si="2"/>
        <v/>
      </c>
      <c r="H47" s="155" t="str">
        <f t="shared" si="3"/>
        <v/>
      </c>
    </row>
    <row r="48" spans="1:8" ht="12.75" customHeight="1" thickBot="1" x14ac:dyDescent="0.25">
      <c r="A48" s="159"/>
      <c r="B48" s="287" t="s">
        <v>831</v>
      </c>
      <c r="C48" s="288"/>
      <c r="D48" s="289"/>
      <c r="E48" s="290">
        <f>SUM(E9:E47)</f>
        <v>161.86500000000001</v>
      </c>
      <c r="F48" s="291" t="s">
        <v>831</v>
      </c>
      <c r="G48" s="288"/>
      <c r="H48" s="292">
        <f>SUM(H9:H47)</f>
        <v>552.24750000000006</v>
      </c>
    </row>
    <row r="49" spans="1:8" ht="12.75" customHeight="1" thickBot="1" x14ac:dyDescent="0.25">
      <c r="A49" s="159"/>
      <c r="B49" s="287" t="s">
        <v>832</v>
      </c>
      <c r="C49" s="288"/>
      <c r="D49" s="293"/>
      <c r="E49" s="292">
        <f>E48*10/100</f>
        <v>16.186500000000002</v>
      </c>
      <c r="F49" s="294" t="s">
        <v>832</v>
      </c>
      <c r="G49" s="295"/>
      <c r="H49" s="292">
        <f>H48*10/100</f>
        <v>55.22475</v>
      </c>
    </row>
    <row r="50" spans="1:8" ht="12.75" customHeight="1" thickBot="1" x14ac:dyDescent="0.25">
      <c r="A50" s="159"/>
      <c r="B50" s="291" t="s">
        <v>24</v>
      </c>
      <c r="C50" s="288"/>
      <c r="D50" s="293"/>
      <c r="E50" s="292">
        <f>E48+E49</f>
        <v>178.0515</v>
      </c>
      <c r="F50" s="291" t="s">
        <v>24</v>
      </c>
      <c r="G50" s="295"/>
      <c r="H50" s="292">
        <f>H48+H49</f>
        <v>607.47225000000003</v>
      </c>
    </row>
    <row r="51" spans="1:8" ht="12.75" customHeight="1" thickBot="1" x14ac:dyDescent="0.25">
      <c r="B51" s="291" t="s">
        <v>10</v>
      </c>
      <c r="C51" s="288"/>
      <c r="D51" s="288"/>
      <c r="E51" s="296">
        <v>105</v>
      </c>
      <c r="F51" s="291" t="s">
        <v>10</v>
      </c>
      <c r="G51" s="288"/>
      <c r="H51" s="297">
        <v>93</v>
      </c>
    </row>
    <row r="52" spans="1:8" ht="12.75" customHeight="1" thickBot="1" x14ac:dyDescent="0.25">
      <c r="B52" s="298" t="s">
        <v>1261</v>
      </c>
      <c r="C52" s="288"/>
      <c r="D52" s="288"/>
      <c r="E52" s="292">
        <f>E50/E51</f>
        <v>1.6957285714285715</v>
      </c>
      <c r="F52" s="291" t="s">
        <v>1261</v>
      </c>
      <c r="G52" s="288"/>
      <c r="H52" s="292">
        <f>H50/H51</f>
        <v>6.5319596774193549</v>
      </c>
    </row>
    <row r="53" spans="1:8" ht="12" customHeight="1" thickBot="1" x14ac:dyDescent="0.25">
      <c r="B53" s="283" t="s">
        <v>15</v>
      </c>
      <c r="C53" s="299" t="s">
        <v>1883</v>
      </c>
      <c r="D53" s="300"/>
      <c r="E53" s="300"/>
      <c r="F53" s="300"/>
      <c r="G53" s="300"/>
      <c r="H53" s="301"/>
    </row>
    <row r="54" spans="1:8" ht="12" customHeight="1" thickBot="1" x14ac:dyDescent="0.25">
      <c r="B54" s="283" t="s">
        <v>16</v>
      </c>
      <c r="C54" s="302" t="s">
        <v>1884</v>
      </c>
      <c r="D54" s="303"/>
      <c r="E54" s="303"/>
      <c r="F54" s="303"/>
      <c r="G54" s="303"/>
      <c r="H54" s="304"/>
    </row>
    <row r="55" spans="1:8" ht="12" customHeight="1" thickBot="1" x14ac:dyDescent="0.25">
      <c r="B55" s="283" t="s">
        <v>17</v>
      </c>
      <c r="C55" s="302" t="s">
        <v>1887</v>
      </c>
      <c r="D55" s="303"/>
      <c r="E55" s="303"/>
      <c r="F55" s="303"/>
      <c r="G55" s="303"/>
      <c r="H55" s="304"/>
    </row>
    <row r="56" spans="1:8" ht="12" customHeight="1" thickBot="1" x14ac:dyDescent="0.25">
      <c r="B56" s="283" t="s">
        <v>18</v>
      </c>
      <c r="C56" s="302" t="s">
        <v>1885</v>
      </c>
      <c r="D56" s="303"/>
      <c r="E56" s="303"/>
      <c r="F56" s="303"/>
      <c r="G56" s="303"/>
      <c r="H56" s="304"/>
    </row>
    <row r="57" spans="1:8" ht="12" customHeight="1" thickBot="1" x14ac:dyDescent="0.25">
      <c r="B57" s="283" t="s">
        <v>49</v>
      </c>
      <c r="C57" s="302" t="s">
        <v>1886</v>
      </c>
      <c r="D57" s="303"/>
      <c r="E57" s="303"/>
      <c r="F57" s="303"/>
      <c r="G57" s="303"/>
      <c r="H57" s="304"/>
    </row>
    <row r="58" spans="1:8" ht="12" customHeight="1" thickBot="1" x14ac:dyDescent="0.25">
      <c r="B58" s="283" t="s">
        <v>51</v>
      </c>
      <c r="C58" s="302"/>
      <c r="D58" s="303"/>
      <c r="E58" s="303"/>
      <c r="F58" s="303"/>
      <c r="G58" s="303"/>
      <c r="H58" s="304"/>
    </row>
    <row r="59" spans="1:8" ht="12" customHeight="1" thickBot="1" x14ac:dyDescent="0.25">
      <c r="B59" s="283" t="s">
        <v>47</v>
      </c>
      <c r="C59" s="302"/>
      <c r="D59" s="303"/>
      <c r="E59" s="303"/>
      <c r="F59" s="303"/>
      <c r="G59" s="303"/>
      <c r="H59" s="304"/>
    </row>
    <row r="60" spans="1:8" ht="12" customHeight="1" thickBot="1" x14ac:dyDescent="0.25">
      <c r="B60" s="283" t="s">
        <v>50</v>
      </c>
      <c r="C60" s="302"/>
      <c r="D60" s="303"/>
      <c r="E60" s="303"/>
      <c r="F60" s="303"/>
      <c r="G60" s="303"/>
      <c r="H60" s="304"/>
    </row>
    <row r="61" spans="1:8" ht="12" customHeight="1" thickBot="1" x14ac:dyDescent="0.25">
      <c r="B61" s="152"/>
      <c r="C61" s="305"/>
      <c r="D61" s="306"/>
      <c r="E61" s="306"/>
      <c r="F61" s="306"/>
      <c r="G61" s="306"/>
      <c r="H61" s="307"/>
    </row>
    <row r="62" spans="1:8" ht="21.75" customHeight="1" thickBot="1" x14ac:dyDescent="0.4">
      <c r="B62" s="277" t="s">
        <v>1889</v>
      </c>
      <c r="C62" s="278"/>
      <c r="D62" s="278"/>
      <c r="E62" s="278"/>
      <c r="F62" s="278"/>
      <c r="G62" s="278"/>
      <c r="H62" s="279"/>
    </row>
    <row r="63" spans="1:8" ht="12" customHeight="1" thickBot="1" x14ac:dyDescent="0.25">
      <c r="B63" s="280" t="s">
        <v>1891</v>
      </c>
      <c r="C63" s="281"/>
      <c r="D63" s="281"/>
      <c r="E63" s="282"/>
      <c r="F63" s="280" t="s">
        <v>1890</v>
      </c>
      <c r="G63" s="281"/>
      <c r="H63" s="282"/>
    </row>
    <row r="64" spans="1:8" ht="12" customHeight="1" thickBot="1" x14ac:dyDescent="0.25">
      <c r="B64" s="283" t="s">
        <v>1896</v>
      </c>
      <c r="C64" s="283" t="s">
        <v>20</v>
      </c>
      <c r="D64" s="283" t="s">
        <v>21</v>
      </c>
      <c r="E64" s="283" t="s">
        <v>22</v>
      </c>
      <c r="F64" s="283" t="s">
        <v>20</v>
      </c>
      <c r="G64" s="283" t="s">
        <v>21</v>
      </c>
      <c r="H64" s="283" t="s">
        <v>22</v>
      </c>
    </row>
    <row r="65" spans="2:8" s="152" customFormat="1" ht="11.25" customHeight="1" thickBot="1" x14ac:dyDescent="0.25">
      <c r="B65" s="175" t="s">
        <v>1691</v>
      </c>
      <c r="C65" s="153">
        <v>10000</v>
      </c>
      <c r="D65" s="154">
        <f t="shared" ref="D65:D105" si="4">IF(B65="","",VLOOKUP(B65,INVENTARIO,2))</f>
        <v>0.03</v>
      </c>
      <c r="E65" s="154">
        <f>IF(C65=0,"",C65*D65)</f>
        <v>300</v>
      </c>
      <c r="F65" s="185">
        <v>8000</v>
      </c>
      <c r="G65" s="154">
        <f>D65</f>
        <v>0.03</v>
      </c>
      <c r="H65" s="155">
        <f>IF(F65=0,"",F65*G65)</f>
        <v>240</v>
      </c>
    </row>
    <row r="66" spans="2:8" s="152" customFormat="1" ht="11.25" customHeight="1" x14ac:dyDescent="0.2">
      <c r="B66" s="175" t="s">
        <v>1692</v>
      </c>
      <c r="C66" s="156">
        <v>13000</v>
      </c>
      <c r="D66" s="155">
        <f t="shared" si="4"/>
        <v>0</v>
      </c>
      <c r="E66" s="155">
        <f t="shared" ref="E66:E105" si="5">IF(C66=0,"",C66*D66)</f>
        <v>0</v>
      </c>
      <c r="F66" s="181">
        <v>27000</v>
      </c>
      <c r="G66" s="155">
        <f t="shared" ref="G66:G105" si="6">D66</f>
        <v>0</v>
      </c>
      <c r="H66" s="155">
        <f t="shared" ref="H66:H105" si="7">IF(F66=0,"",F66*G66)</f>
        <v>0</v>
      </c>
    </row>
    <row r="67" spans="2:8" s="152" customFormat="1" ht="11.25" customHeight="1" x14ac:dyDescent="0.2">
      <c r="B67" s="176" t="s">
        <v>1693</v>
      </c>
      <c r="C67" s="156">
        <v>2000</v>
      </c>
      <c r="D67" s="155">
        <f t="shared" si="4"/>
        <v>0</v>
      </c>
      <c r="E67" s="155">
        <f t="shared" si="5"/>
        <v>0</v>
      </c>
      <c r="F67" s="181">
        <v>7500</v>
      </c>
      <c r="G67" s="155">
        <f t="shared" si="6"/>
        <v>0</v>
      </c>
      <c r="H67" s="155">
        <f t="shared" si="7"/>
        <v>0</v>
      </c>
    </row>
    <row r="68" spans="2:8" s="152" customFormat="1" ht="11.25" customHeight="1" x14ac:dyDescent="0.2">
      <c r="B68" s="176" t="s">
        <v>1694</v>
      </c>
      <c r="C68" s="156">
        <v>20000</v>
      </c>
      <c r="D68" s="155">
        <f t="shared" si="4"/>
        <v>1.4999999999999999E-2</v>
      </c>
      <c r="E68" s="155">
        <f t="shared" si="5"/>
        <v>300</v>
      </c>
      <c r="F68" s="181">
        <v>1000</v>
      </c>
      <c r="G68" s="155">
        <f t="shared" si="6"/>
        <v>1.4999999999999999E-2</v>
      </c>
      <c r="H68" s="155">
        <f t="shared" si="7"/>
        <v>15</v>
      </c>
    </row>
    <row r="69" spans="2:8" s="152" customFormat="1" ht="11.25" customHeight="1" x14ac:dyDescent="0.2">
      <c r="B69" s="176" t="s">
        <v>1695</v>
      </c>
      <c r="C69" s="156"/>
      <c r="D69" s="155">
        <f t="shared" si="4"/>
        <v>0.01</v>
      </c>
      <c r="E69" s="155" t="str">
        <f t="shared" si="5"/>
        <v/>
      </c>
      <c r="F69" s="181">
        <v>2000</v>
      </c>
      <c r="G69" s="155">
        <f t="shared" si="6"/>
        <v>0.01</v>
      </c>
      <c r="H69" s="155">
        <f t="shared" si="7"/>
        <v>20</v>
      </c>
    </row>
    <row r="70" spans="2:8" s="152" customFormat="1" ht="11.25" customHeight="1" x14ac:dyDescent="0.2">
      <c r="B70" s="176" t="s">
        <v>1696</v>
      </c>
      <c r="C70" s="156">
        <v>15</v>
      </c>
      <c r="D70" s="155">
        <f t="shared" si="4"/>
        <v>0.01</v>
      </c>
      <c r="E70" s="155">
        <f t="shared" si="5"/>
        <v>0.15</v>
      </c>
      <c r="F70" s="181">
        <v>2000</v>
      </c>
      <c r="G70" s="155">
        <f t="shared" si="6"/>
        <v>0.01</v>
      </c>
      <c r="H70" s="155">
        <f t="shared" si="7"/>
        <v>20</v>
      </c>
    </row>
    <row r="71" spans="2:8" s="152" customFormat="1" ht="11.25" customHeight="1" x14ac:dyDescent="0.2">
      <c r="B71" s="176" t="s">
        <v>1697</v>
      </c>
      <c r="C71" s="156">
        <v>5000</v>
      </c>
      <c r="D71" s="155">
        <f t="shared" si="4"/>
        <v>4.0000000000000001E-3</v>
      </c>
      <c r="E71" s="155">
        <f t="shared" si="5"/>
        <v>20</v>
      </c>
      <c r="F71" s="181">
        <v>15000</v>
      </c>
      <c r="G71" s="155">
        <f t="shared" si="6"/>
        <v>4.0000000000000001E-3</v>
      </c>
      <c r="H71" s="155">
        <f t="shared" si="7"/>
        <v>60</v>
      </c>
    </row>
    <row r="72" spans="2:8" s="152" customFormat="1" ht="11.25" customHeight="1" x14ac:dyDescent="0.2">
      <c r="B72" s="176" t="s">
        <v>1698</v>
      </c>
      <c r="C72" s="156">
        <v>5000</v>
      </c>
      <c r="D72" s="155">
        <f t="shared" si="4"/>
        <v>1.4E-2</v>
      </c>
      <c r="E72" s="155">
        <f t="shared" si="5"/>
        <v>70</v>
      </c>
      <c r="F72" s="181">
        <v>1000</v>
      </c>
      <c r="G72" s="155">
        <f t="shared" si="6"/>
        <v>1.4E-2</v>
      </c>
      <c r="H72" s="155">
        <f t="shared" si="7"/>
        <v>14</v>
      </c>
    </row>
    <row r="73" spans="2:8" s="152" customFormat="1" ht="11.25" customHeight="1" x14ac:dyDescent="0.2">
      <c r="B73" s="176" t="s">
        <v>1699</v>
      </c>
      <c r="C73" s="156">
        <v>200</v>
      </c>
      <c r="D73" s="155">
        <f t="shared" si="4"/>
        <v>1.166E-2</v>
      </c>
      <c r="E73" s="155">
        <f t="shared" si="5"/>
        <v>2.3319999999999999</v>
      </c>
      <c r="F73" s="181">
        <v>5000</v>
      </c>
      <c r="G73" s="155">
        <f t="shared" si="6"/>
        <v>1.166E-2</v>
      </c>
      <c r="H73" s="155">
        <f t="shared" si="7"/>
        <v>58.300000000000004</v>
      </c>
    </row>
    <row r="74" spans="2:8" s="152" customFormat="1" ht="11.25" customHeight="1" x14ac:dyDescent="0.2">
      <c r="B74" s="176" t="s">
        <v>1700</v>
      </c>
      <c r="C74" s="156">
        <v>5000</v>
      </c>
      <c r="D74" s="155">
        <f t="shared" si="4"/>
        <v>0.06</v>
      </c>
      <c r="E74" s="155">
        <f t="shared" si="5"/>
        <v>300</v>
      </c>
      <c r="F74" s="181">
        <v>5000</v>
      </c>
      <c r="G74" s="155">
        <f t="shared" si="6"/>
        <v>0.06</v>
      </c>
      <c r="H74" s="155">
        <f t="shared" si="7"/>
        <v>300</v>
      </c>
    </row>
    <row r="75" spans="2:8" s="152" customFormat="1" ht="11.25" customHeight="1" x14ac:dyDescent="0.2">
      <c r="B75" s="176" t="s">
        <v>1701</v>
      </c>
      <c r="C75" s="156">
        <v>1000</v>
      </c>
      <c r="D75" s="155">
        <f t="shared" si="4"/>
        <v>0.125</v>
      </c>
      <c r="E75" s="155">
        <f t="shared" si="5"/>
        <v>125</v>
      </c>
      <c r="F75" s="181">
        <v>600</v>
      </c>
      <c r="G75" s="155">
        <f t="shared" si="6"/>
        <v>0.125</v>
      </c>
      <c r="H75" s="155">
        <f t="shared" si="7"/>
        <v>75</v>
      </c>
    </row>
    <row r="76" spans="2:8" s="152" customFormat="1" ht="11.25" customHeight="1" x14ac:dyDescent="0.2">
      <c r="B76" s="176" t="s">
        <v>1702</v>
      </c>
      <c r="C76" s="156">
        <v>2000</v>
      </c>
      <c r="D76" s="155">
        <f t="shared" si="4"/>
        <v>1.4999999999999999E-2</v>
      </c>
      <c r="E76" s="155">
        <f t="shared" si="5"/>
        <v>30</v>
      </c>
      <c r="F76" s="181">
        <v>2000</v>
      </c>
      <c r="G76" s="155">
        <f t="shared" si="6"/>
        <v>1.4999999999999999E-2</v>
      </c>
      <c r="H76" s="155">
        <f t="shared" si="7"/>
        <v>30</v>
      </c>
    </row>
    <row r="77" spans="2:8" s="152" customFormat="1" ht="11.25" customHeight="1" x14ac:dyDescent="0.2">
      <c r="B77" s="176" t="s">
        <v>1703</v>
      </c>
      <c r="C77" s="156">
        <v>1000</v>
      </c>
      <c r="D77" s="155">
        <f t="shared" si="4"/>
        <v>6.0000000000000001E-3</v>
      </c>
      <c r="E77" s="155">
        <f t="shared" si="5"/>
        <v>6</v>
      </c>
      <c r="F77" s="181">
        <v>7500</v>
      </c>
      <c r="G77" s="155">
        <f t="shared" si="6"/>
        <v>6.0000000000000001E-3</v>
      </c>
      <c r="H77" s="155">
        <f t="shared" si="7"/>
        <v>45</v>
      </c>
    </row>
    <row r="78" spans="2:8" s="152" customFormat="1" ht="11.25" customHeight="1" x14ac:dyDescent="0.2">
      <c r="B78" s="176" t="s">
        <v>1704</v>
      </c>
      <c r="C78" s="156">
        <v>1000</v>
      </c>
      <c r="D78" s="155">
        <f t="shared" si="4"/>
        <v>8.0000000000000002E-3</v>
      </c>
      <c r="E78" s="155">
        <f t="shared" si="5"/>
        <v>8</v>
      </c>
      <c r="F78" s="181">
        <v>7000</v>
      </c>
      <c r="G78" s="155">
        <f t="shared" si="6"/>
        <v>8.0000000000000002E-3</v>
      </c>
      <c r="H78" s="155">
        <f t="shared" si="7"/>
        <v>56</v>
      </c>
    </row>
    <row r="79" spans="2:8" s="152" customFormat="1" ht="11.25" customHeight="1" x14ac:dyDescent="0.2">
      <c r="B79" s="176" t="s">
        <v>1705</v>
      </c>
      <c r="C79" s="156">
        <v>2000</v>
      </c>
      <c r="D79" s="155">
        <f t="shared" si="4"/>
        <v>1.4999999999999999E-2</v>
      </c>
      <c r="E79" s="155">
        <f t="shared" si="5"/>
        <v>30</v>
      </c>
      <c r="F79" s="181">
        <v>200</v>
      </c>
      <c r="G79" s="155">
        <f t="shared" si="6"/>
        <v>1.4999999999999999E-2</v>
      </c>
      <c r="H79" s="155">
        <f t="shared" si="7"/>
        <v>3</v>
      </c>
    </row>
    <row r="80" spans="2:8" s="152" customFormat="1" x14ac:dyDescent="0.2">
      <c r="B80" s="176" t="s">
        <v>1706</v>
      </c>
      <c r="C80" s="156">
        <v>300</v>
      </c>
      <c r="D80" s="155">
        <f t="shared" si="4"/>
        <v>1.4999999999999999E-2</v>
      </c>
      <c r="E80" s="155">
        <f t="shared" si="5"/>
        <v>4.5</v>
      </c>
      <c r="F80" s="181">
        <v>500</v>
      </c>
      <c r="G80" s="155">
        <f t="shared" si="6"/>
        <v>1.4999999999999999E-2</v>
      </c>
      <c r="H80" s="155">
        <f t="shared" si="7"/>
        <v>7.5</v>
      </c>
    </row>
    <row r="81" spans="2:8" s="152" customFormat="1" ht="11.25" customHeight="1" x14ac:dyDescent="0.2">
      <c r="B81" s="176" t="s">
        <v>1707</v>
      </c>
      <c r="C81" s="156">
        <v>600</v>
      </c>
      <c r="D81" s="155">
        <f t="shared" si="4"/>
        <v>11.74</v>
      </c>
      <c r="E81" s="155">
        <f t="shared" si="5"/>
        <v>7044</v>
      </c>
      <c r="F81" s="181">
        <v>1.5</v>
      </c>
      <c r="G81" s="155">
        <f t="shared" si="6"/>
        <v>11.74</v>
      </c>
      <c r="H81" s="155">
        <f t="shared" si="7"/>
        <v>17.61</v>
      </c>
    </row>
    <row r="82" spans="2:8" s="152" customFormat="1" ht="11.25" customHeight="1" thickBot="1" x14ac:dyDescent="0.25">
      <c r="B82" s="176" t="s">
        <v>1708</v>
      </c>
      <c r="C82" s="156">
        <v>1000</v>
      </c>
      <c r="D82" s="155">
        <f t="shared" si="4"/>
        <v>6.3829999999999998E-2</v>
      </c>
      <c r="E82" s="155">
        <f t="shared" si="5"/>
        <v>63.83</v>
      </c>
      <c r="F82" s="181">
        <v>300</v>
      </c>
      <c r="G82" s="155">
        <f t="shared" si="6"/>
        <v>6.3829999999999998E-2</v>
      </c>
      <c r="H82" s="155">
        <f t="shared" si="7"/>
        <v>19.149000000000001</v>
      </c>
    </row>
    <row r="83" spans="2:8" s="152" customFormat="1" ht="11.25" customHeight="1" x14ac:dyDescent="0.2">
      <c r="B83" s="175" t="s">
        <v>1670</v>
      </c>
      <c r="C83" s="156">
        <v>2000</v>
      </c>
      <c r="D83" s="155">
        <f t="shared" si="4"/>
        <v>4.5090000000000005E-2</v>
      </c>
      <c r="E83" s="155">
        <f t="shared" si="5"/>
        <v>90.18</v>
      </c>
      <c r="F83" s="181">
        <v>400</v>
      </c>
      <c r="G83" s="155">
        <f t="shared" si="6"/>
        <v>4.5090000000000005E-2</v>
      </c>
      <c r="H83" s="155">
        <f t="shared" si="7"/>
        <v>18.036000000000001</v>
      </c>
    </row>
    <row r="84" spans="2:8" s="152" customFormat="1" ht="11.25" customHeight="1" x14ac:dyDescent="0.2">
      <c r="B84" s="176" t="s">
        <v>1679</v>
      </c>
      <c r="C84" s="156">
        <v>2000</v>
      </c>
      <c r="D84" s="155">
        <f t="shared" si="4"/>
        <v>6.7499999999999999E-3</v>
      </c>
      <c r="E84" s="155">
        <f t="shared" si="5"/>
        <v>13.5</v>
      </c>
      <c r="F84" s="181">
        <v>200</v>
      </c>
      <c r="G84" s="155">
        <f t="shared" si="6"/>
        <v>6.7499999999999999E-3</v>
      </c>
      <c r="H84" s="155">
        <f t="shared" si="7"/>
        <v>1.35</v>
      </c>
    </row>
    <row r="85" spans="2:8" s="152" customFormat="1" ht="11.25" customHeight="1" x14ac:dyDescent="0.2">
      <c r="B85" s="176" t="s">
        <v>1709</v>
      </c>
      <c r="C85" s="156"/>
      <c r="D85" s="155">
        <f t="shared" si="4"/>
        <v>4.28E-3</v>
      </c>
      <c r="E85" s="155" t="str">
        <f t="shared" si="5"/>
        <v/>
      </c>
      <c r="F85" s="181">
        <v>3000</v>
      </c>
      <c r="G85" s="155">
        <f t="shared" si="6"/>
        <v>4.28E-3</v>
      </c>
      <c r="H85" s="155">
        <f t="shared" si="7"/>
        <v>12.84</v>
      </c>
    </row>
    <row r="86" spans="2:8" s="152" customFormat="1" ht="11.25" customHeight="1" x14ac:dyDescent="0.2">
      <c r="B86" s="176" t="s">
        <v>1710</v>
      </c>
      <c r="C86" s="156"/>
      <c r="D86" s="155">
        <f t="shared" si="4"/>
        <v>1.2538271604938271E-2</v>
      </c>
      <c r="E86" s="155" t="str">
        <f t="shared" si="5"/>
        <v/>
      </c>
      <c r="F86" s="181">
        <v>500</v>
      </c>
      <c r="G86" s="155">
        <f t="shared" si="6"/>
        <v>1.2538271604938271E-2</v>
      </c>
      <c r="H86" s="155">
        <f t="shared" si="7"/>
        <v>6.2691358024691359</v>
      </c>
    </row>
    <row r="87" spans="2:8" s="152" customFormat="1" ht="11.25" customHeight="1" x14ac:dyDescent="0.2">
      <c r="B87" s="176" t="s">
        <v>1711</v>
      </c>
      <c r="C87" s="156"/>
      <c r="D87" s="155">
        <f t="shared" si="4"/>
        <v>4</v>
      </c>
      <c r="E87" s="155" t="str">
        <f t="shared" si="5"/>
        <v/>
      </c>
      <c r="F87" s="181">
        <v>1</v>
      </c>
      <c r="G87" s="155">
        <f t="shared" si="6"/>
        <v>4</v>
      </c>
      <c r="H87" s="155">
        <f t="shared" si="7"/>
        <v>4</v>
      </c>
    </row>
    <row r="88" spans="2:8" s="152" customFormat="1" ht="11.25" customHeight="1" x14ac:dyDescent="0.2">
      <c r="B88" s="176" t="s">
        <v>1712</v>
      </c>
      <c r="C88" s="156"/>
      <c r="D88" s="155">
        <f t="shared" si="4"/>
        <v>2.5856000000000001E-2</v>
      </c>
      <c r="E88" s="155" t="str">
        <f t="shared" si="5"/>
        <v/>
      </c>
      <c r="F88" s="181">
        <v>500</v>
      </c>
      <c r="G88" s="155">
        <f t="shared" si="6"/>
        <v>2.5856000000000001E-2</v>
      </c>
      <c r="H88" s="155">
        <f t="shared" si="7"/>
        <v>12.928000000000001</v>
      </c>
    </row>
    <row r="89" spans="2:8" s="152" customFormat="1" ht="11.25" customHeight="1" x14ac:dyDescent="0.2">
      <c r="B89" s="176" t="s">
        <v>1713</v>
      </c>
      <c r="C89" s="156"/>
      <c r="D89" s="155">
        <f t="shared" si="4"/>
        <v>8.6999999999999994E-2</v>
      </c>
      <c r="E89" s="155" t="str">
        <f t="shared" si="5"/>
        <v/>
      </c>
      <c r="F89" s="181">
        <v>500</v>
      </c>
      <c r="G89" s="155">
        <f t="shared" si="6"/>
        <v>8.6999999999999994E-2</v>
      </c>
      <c r="H89" s="155">
        <f t="shared" si="7"/>
        <v>43.5</v>
      </c>
    </row>
    <row r="90" spans="2:8" s="152" customFormat="1" ht="11.25" customHeight="1" x14ac:dyDescent="0.2">
      <c r="B90" s="176"/>
      <c r="C90" s="156"/>
      <c r="D90" s="155" t="str">
        <f t="shared" si="4"/>
        <v/>
      </c>
      <c r="E90" s="155" t="str">
        <f t="shared" si="5"/>
        <v/>
      </c>
      <c r="F90" s="181"/>
      <c r="G90" s="155" t="str">
        <f t="shared" si="6"/>
        <v/>
      </c>
      <c r="H90" s="155" t="str">
        <f t="shared" si="7"/>
        <v/>
      </c>
    </row>
    <row r="91" spans="2:8" s="152" customFormat="1" ht="11.25" customHeight="1" x14ac:dyDescent="0.2">
      <c r="B91" s="176"/>
      <c r="C91" s="156"/>
      <c r="D91" s="155" t="str">
        <f t="shared" si="4"/>
        <v/>
      </c>
      <c r="E91" s="155" t="str">
        <f t="shared" si="5"/>
        <v/>
      </c>
      <c r="F91" s="181"/>
      <c r="G91" s="155" t="str">
        <f t="shared" si="6"/>
        <v/>
      </c>
      <c r="H91" s="155" t="str">
        <f t="shared" si="7"/>
        <v/>
      </c>
    </row>
    <row r="92" spans="2:8" s="152" customFormat="1" ht="11.25" customHeight="1" x14ac:dyDescent="0.2">
      <c r="B92" s="176"/>
      <c r="C92" s="156"/>
      <c r="D92" s="155" t="str">
        <f t="shared" si="4"/>
        <v/>
      </c>
      <c r="E92" s="155" t="str">
        <f t="shared" si="5"/>
        <v/>
      </c>
      <c r="F92" s="181"/>
      <c r="G92" s="155" t="str">
        <f t="shared" si="6"/>
        <v/>
      </c>
      <c r="H92" s="155" t="str">
        <f t="shared" si="7"/>
        <v/>
      </c>
    </row>
    <row r="93" spans="2:8" s="152" customFormat="1" ht="11.25" customHeight="1" x14ac:dyDescent="0.2">
      <c r="B93" s="176"/>
      <c r="C93" s="156"/>
      <c r="D93" s="155" t="str">
        <f t="shared" si="4"/>
        <v/>
      </c>
      <c r="E93" s="155" t="str">
        <f t="shared" si="5"/>
        <v/>
      </c>
      <c r="F93" s="181"/>
      <c r="G93" s="155" t="str">
        <f t="shared" si="6"/>
        <v/>
      </c>
      <c r="H93" s="155" t="str">
        <f t="shared" si="7"/>
        <v/>
      </c>
    </row>
    <row r="94" spans="2:8" s="152" customFormat="1" ht="11.25" customHeight="1" x14ac:dyDescent="0.2">
      <c r="B94" s="176"/>
      <c r="C94" s="156"/>
      <c r="D94" s="155" t="str">
        <f t="shared" si="4"/>
        <v/>
      </c>
      <c r="E94" s="155" t="str">
        <f t="shared" si="5"/>
        <v/>
      </c>
      <c r="F94" s="181"/>
      <c r="G94" s="155" t="str">
        <f t="shared" si="6"/>
        <v/>
      </c>
      <c r="H94" s="155" t="str">
        <f t="shared" si="7"/>
        <v/>
      </c>
    </row>
    <row r="95" spans="2:8" s="152" customFormat="1" ht="11.25" customHeight="1" x14ac:dyDescent="0.2">
      <c r="B95" s="176"/>
      <c r="C95" s="156"/>
      <c r="D95" s="155" t="str">
        <f t="shared" si="4"/>
        <v/>
      </c>
      <c r="E95" s="155" t="str">
        <f t="shared" si="5"/>
        <v/>
      </c>
      <c r="F95" s="181"/>
      <c r="G95" s="155" t="str">
        <f t="shared" si="6"/>
        <v/>
      </c>
      <c r="H95" s="155" t="str">
        <f t="shared" si="7"/>
        <v/>
      </c>
    </row>
    <row r="96" spans="2:8" s="152" customFormat="1" ht="11.25" customHeight="1" x14ac:dyDescent="0.2">
      <c r="B96" s="176"/>
      <c r="C96" s="156"/>
      <c r="D96" s="155" t="str">
        <f t="shared" si="4"/>
        <v/>
      </c>
      <c r="E96" s="155" t="str">
        <f t="shared" si="5"/>
        <v/>
      </c>
      <c r="F96" s="181"/>
      <c r="G96" s="155" t="str">
        <f t="shared" si="6"/>
        <v/>
      </c>
      <c r="H96" s="155" t="str">
        <f t="shared" si="7"/>
        <v/>
      </c>
    </row>
    <row r="97" spans="1:8" s="152" customFormat="1" ht="11.25" customHeight="1" x14ac:dyDescent="0.2">
      <c r="B97" s="176"/>
      <c r="C97" s="156"/>
      <c r="D97" s="155" t="str">
        <f t="shared" si="4"/>
        <v/>
      </c>
      <c r="E97" s="155" t="str">
        <f t="shared" si="5"/>
        <v/>
      </c>
      <c r="F97" s="181"/>
      <c r="G97" s="155" t="str">
        <f t="shared" si="6"/>
        <v/>
      </c>
      <c r="H97" s="155" t="str">
        <f t="shared" si="7"/>
        <v/>
      </c>
    </row>
    <row r="98" spans="1:8" s="152" customFormat="1" ht="11.25" customHeight="1" x14ac:dyDescent="0.2">
      <c r="B98" s="176"/>
      <c r="C98" s="156"/>
      <c r="D98" s="155" t="str">
        <f t="shared" si="4"/>
        <v/>
      </c>
      <c r="E98" s="155" t="str">
        <f t="shared" si="5"/>
        <v/>
      </c>
      <c r="F98" s="181"/>
      <c r="G98" s="155" t="str">
        <f t="shared" si="6"/>
        <v/>
      </c>
      <c r="H98" s="155" t="str">
        <f t="shared" si="7"/>
        <v/>
      </c>
    </row>
    <row r="99" spans="1:8" s="152" customFormat="1" ht="11.25" customHeight="1" x14ac:dyDescent="0.2">
      <c r="B99" s="176"/>
      <c r="C99" s="156"/>
      <c r="D99" s="155" t="str">
        <f t="shared" si="4"/>
        <v/>
      </c>
      <c r="E99" s="155" t="str">
        <f t="shared" si="5"/>
        <v/>
      </c>
      <c r="F99" s="181"/>
      <c r="G99" s="155" t="str">
        <f t="shared" si="6"/>
        <v/>
      </c>
      <c r="H99" s="155" t="str">
        <f t="shared" si="7"/>
        <v/>
      </c>
    </row>
    <row r="100" spans="1:8" ht="11.25" customHeight="1" x14ac:dyDescent="0.2">
      <c r="B100" s="176"/>
      <c r="C100" s="156"/>
      <c r="D100" s="155" t="str">
        <f t="shared" si="4"/>
        <v/>
      </c>
      <c r="E100" s="155" t="str">
        <f t="shared" si="5"/>
        <v/>
      </c>
      <c r="F100" s="181"/>
      <c r="G100" s="155" t="str">
        <f t="shared" si="6"/>
        <v/>
      </c>
      <c r="H100" s="155" t="str">
        <f t="shared" si="7"/>
        <v/>
      </c>
    </row>
    <row r="101" spans="1:8" ht="11.25" customHeight="1" x14ac:dyDescent="0.2">
      <c r="B101" s="176"/>
      <c r="C101" s="156"/>
      <c r="D101" s="155" t="str">
        <f t="shared" si="4"/>
        <v/>
      </c>
      <c r="E101" s="155" t="str">
        <f t="shared" si="5"/>
        <v/>
      </c>
      <c r="F101" s="181"/>
      <c r="G101" s="155" t="str">
        <f t="shared" si="6"/>
        <v/>
      </c>
      <c r="H101" s="155" t="str">
        <f t="shared" si="7"/>
        <v/>
      </c>
    </row>
    <row r="102" spans="1:8" ht="11.25" customHeight="1" x14ac:dyDescent="0.2">
      <c r="B102" s="176"/>
      <c r="C102" s="156"/>
      <c r="D102" s="155" t="str">
        <f t="shared" si="4"/>
        <v/>
      </c>
      <c r="E102" s="155" t="str">
        <f t="shared" si="5"/>
        <v/>
      </c>
      <c r="F102" s="181"/>
      <c r="G102" s="155" t="str">
        <f t="shared" si="6"/>
        <v/>
      </c>
      <c r="H102" s="155" t="str">
        <f t="shared" si="7"/>
        <v/>
      </c>
    </row>
    <row r="103" spans="1:8" ht="11.25" customHeight="1" x14ac:dyDescent="0.2">
      <c r="B103" s="176"/>
      <c r="C103" s="156"/>
      <c r="D103" s="155" t="str">
        <f t="shared" si="4"/>
        <v/>
      </c>
      <c r="E103" s="155" t="str">
        <f t="shared" si="5"/>
        <v/>
      </c>
      <c r="F103" s="308"/>
      <c r="G103" s="155" t="str">
        <f t="shared" si="6"/>
        <v/>
      </c>
      <c r="H103" s="155"/>
    </row>
    <row r="104" spans="1:8" ht="11.25" customHeight="1" x14ac:dyDescent="0.2">
      <c r="B104" s="176"/>
      <c r="C104" s="156"/>
      <c r="D104" s="155" t="str">
        <f t="shared" si="4"/>
        <v/>
      </c>
      <c r="E104" s="155" t="str">
        <f t="shared" si="5"/>
        <v/>
      </c>
      <c r="F104" s="308"/>
      <c r="G104" s="155" t="str">
        <f t="shared" si="6"/>
        <v/>
      </c>
      <c r="H104" s="155"/>
    </row>
    <row r="105" spans="1:8" ht="12" customHeight="1" thickBot="1" x14ac:dyDescent="0.25">
      <c r="B105" s="284"/>
      <c r="C105" s="285"/>
      <c r="D105" s="309" t="str">
        <f t="shared" si="4"/>
        <v/>
      </c>
      <c r="E105" s="310" t="str">
        <f t="shared" si="5"/>
        <v/>
      </c>
      <c r="F105" s="286"/>
      <c r="G105" s="309" t="str">
        <f t="shared" si="6"/>
        <v/>
      </c>
      <c r="H105" s="155" t="str">
        <f t="shared" si="7"/>
        <v/>
      </c>
    </row>
    <row r="106" spans="1:8" ht="12.75" customHeight="1" thickBot="1" x14ac:dyDescent="0.25">
      <c r="A106" s="159"/>
      <c r="B106" s="287" t="s">
        <v>831</v>
      </c>
      <c r="C106" s="288"/>
      <c r="D106" s="311"/>
      <c r="E106" s="154">
        <f>SUM(E65:E105)</f>
        <v>8407.4920000000002</v>
      </c>
      <c r="F106" s="287" t="s">
        <v>831</v>
      </c>
      <c r="G106" s="288"/>
      <c r="H106" s="292">
        <f>SUM(H65:H105)</f>
        <v>1079.4821358024692</v>
      </c>
    </row>
    <row r="107" spans="1:8" ht="12.75" customHeight="1" thickBot="1" x14ac:dyDescent="0.25">
      <c r="A107" s="159"/>
      <c r="B107" s="287" t="s">
        <v>832</v>
      </c>
      <c r="C107" s="288"/>
      <c r="D107" s="288"/>
      <c r="E107" s="155">
        <f>E106*10/100</f>
        <v>840.74919999999997</v>
      </c>
      <c r="F107" s="312" t="s">
        <v>832</v>
      </c>
      <c r="G107" s="295"/>
      <c r="H107" s="292">
        <f>H106*10/100</f>
        <v>107.94821358024691</v>
      </c>
    </row>
    <row r="108" spans="1:8" ht="12.75" customHeight="1" thickBot="1" x14ac:dyDescent="0.25">
      <c r="A108" s="159"/>
      <c r="B108" s="287" t="s">
        <v>24</v>
      </c>
      <c r="C108" s="288"/>
      <c r="D108" s="288"/>
      <c r="E108" s="155">
        <f>E106+E107</f>
        <v>9248.2412000000004</v>
      </c>
      <c r="F108" s="287" t="s">
        <v>24</v>
      </c>
      <c r="G108" s="295"/>
      <c r="H108" s="292">
        <f>H106+H107</f>
        <v>1187.430349382716</v>
      </c>
    </row>
    <row r="109" spans="1:8" ht="12.75" customHeight="1" thickBot="1" x14ac:dyDescent="0.25">
      <c r="B109" s="291" t="s">
        <v>10</v>
      </c>
      <c r="C109" s="288"/>
      <c r="D109" s="288"/>
      <c r="E109" s="313">
        <v>75</v>
      </c>
      <c r="F109" s="287" t="s">
        <v>10</v>
      </c>
      <c r="G109" s="288"/>
      <c r="H109" s="314">
        <v>64</v>
      </c>
    </row>
    <row r="110" spans="1:8" ht="12.75" customHeight="1" thickBot="1" x14ac:dyDescent="0.25">
      <c r="B110" s="298" t="s">
        <v>1261</v>
      </c>
      <c r="C110" s="288"/>
      <c r="D110" s="288"/>
      <c r="E110" s="309">
        <f>E108/E109</f>
        <v>123.30988266666667</v>
      </c>
      <c r="F110" s="287" t="s">
        <v>1261</v>
      </c>
      <c r="G110" s="288"/>
      <c r="H110" s="292">
        <f>H108/H109</f>
        <v>18.553599209104938</v>
      </c>
    </row>
    <row r="111" spans="1:8" ht="12" customHeight="1" thickBot="1" x14ac:dyDescent="0.25">
      <c r="B111" s="283" t="s">
        <v>48</v>
      </c>
      <c r="C111" s="315" t="s">
        <v>1682</v>
      </c>
      <c r="D111" s="316"/>
      <c r="E111" s="317"/>
      <c r="F111" s="316"/>
      <c r="G111" s="316"/>
      <c r="H111" s="318"/>
    </row>
    <row r="112" spans="1:8" ht="12" customHeight="1" thickBot="1" x14ac:dyDescent="0.25">
      <c r="B112" s="283" t="s">
        <v>15</v>
      </c>
      <c r="C112" s="302" t="s">
        <v>1683</v>
      </c>
      <c r="D112" s="303"/>
      <c r="E112" s="303"/>
      <c r="F112" s="303"/>
      <c r="G112" s="303"/>
      <c r="H112" s="304"/>
    </row>
    <row r="113" spans="2:8" ht="12" customHeight="1" thickBot="1" x14ac:dyDescent="0.25">
      <c r="B113" s="283" t="s">
        <v>16</v>
      </c>
      <c r="C113" s="302" t="s">
        <v>1684</v>
      </c>
      <c r="D113" s="303"/>
      <c r="E113" s="303"/>
      <c r="F113" s="303"/>
      <c r="G113" s="303"/>
      <c r="H113" s="304"/>
    </row>
    <row r="114" spans="2:8" ht="12" customHeight="1" thickBot="1" x14ac:dyDescent="0.25">
      <c r="B114" s="283" t="s">
        <v>17</v>
      </c>
      <c r="C114" s="302" t="s">
        <v>1685</v>
      </c>
      <c r="D114" s="303"/>
      <c r="E114" s="303"/>
      <c r="F114" s="303"/>
      <c r="G114" s="303"/>
      <c r="H114" s="304"/>
    </row>
    <row r="115" spans="2:8" ht="12" customHeight="1" thickBot="1" x14ac:dyDescent="0.25">
      <c r="B115" s="283" t="s">
        <v>18</v>
      </c>
      <c r="C115" s="302" t="s">
        <v>1686</v>
      </c>
      <c r="D115" s="303"/>
      <c r="E115" s="303"/>
      <c r="F115" s="303"/>
      <c r="G115" s="303"/>
      <c r="H115" s="304"/>
    </row>
    <row r="116" spans="2:8" ht="12" customHeight="1" thickBot="1" x14ac:dyDescent="0.25">
      <c r="B116" s="283" t="s">
        <v>49</v>
      </c>
      <c r="C116" s="302" t="s">
        <v>1687</v>
      </c>
      <c r="D116" s="303"/>
      <c r="E116" s="303"/>
      <c r="F116" s="303"/>
      <c r="G116" s="303"/>
      <c r="H116" s="304"/>
    </row>
    <row r="117" spans="2:8" ht="12" customHeight="1" thickBot="1" x14ac:dyDescent="0.25">
      <c r="B117" s="283" t="s">
        <v>51</v>
      </c>
      <c r="C117" s="302" t="s">
        <v>1688</v>
      </c>
      <c r="D117" s="303"/>
      <c r="E117" s="303"/>
      <c r="F117" s="303"/>
      <c r="G117" s="303"/>
      <c r="H117" s="304"/>
    </row>
    <row r="118" spans="2:8" ht="12" customHeight="1" thickBot="1" x14ac:dyDescent="0.25">
      <c r="B118" s="283" t="s">
        <v>47</v>
      </c>
      <c r="C118" s="302" t="s">
        <v>1689</v>
      </c>
      <c r="D118" s="303"/>
      <c r="E118" s="303"/>
      <c r="F118" s="303"/>
      <c r="G118" s="303"/>
      <c r="H118" s="304"/>
    </row>
    <row r="119" spans="2:8" ht="12" customHeight="1" thickBot="1" x14ac:dyDescent="0.25">
      <c r="B119" s="283" t="s">
        <v>50</v>
      </c>
      <c r="C119" s="305" t="s">
        <v>1690</v>
      </c>
      <c r="D119" s="306"/>
      <c r="E119" s="306"/>
      <c r="F119" s="306"/>
      <c r="G119" s="306"/>
      <c r="H119" s="307"/>
    </row>
    <row r="120" spans="2:8" ht="12" customHeight="1" thickBot="1" x14ac:dyDescent="0.25">
      <c r="B120" s="152"/>
      <c r="C120" s="319"/>
      <c r="D120" s="319"/>
      <c r="E120" s="319"/>
      <c r="F120" s="319"/>
      <c r="G120" s="319"/>
      <c r="H120" s="319"/>
    </row>
    <row r="121" spans="2:8" ht="21.75" customHeight="1" thickBot="1" x14ac:dyDescent="0.4">
      <c r="B121" s="277" t="s">
        <v>1892</v>
      </c>
      <c r="C121" s="278"/>
      <c r="D121" s="278"/>
      <c r="E121" s="278"/>
      <c r="F121" s="278"/>
      <c r="G121" s="278"/>
      <c r="H121" s="279"/>
    </row>
    <row r="122" spans="2:8" ht="12" customHeight="1" thickBot="1" x14ac:dyDescent="0.25">
      <c r="B122" s="280" t="s">
        <v>1891</v>
      </c>
      <c r="C122" s="281"/>
      <c r="D122" s="281"/>
      <c r="E122" s="282"/>
      <c r="F122" s="280" t="s">
        <v>1890</v>
      </c>
      <c r="G122" s="281"/>
      <c r="H122" s="282"/>
    </row>
    <row r="123" spans="2:8" ht="12" customHeight="1" thickBot="1" x14ac:dyDescent="0.25">
      <c r="B123" s="283" t="s">
        <v>1896</v>
      </c>
      <c r="C123" s="283" t="s">
        <v>20</v>
      </c>
      <c r="D123" s="283" t="s">
        <v>21</v>
      </c>
      <c r="E123" s="283" t="s">
        <v>22</v>
      </c>
      <c r="F123" s="283" t="s">
        <v>20</v>
      </c>
      <c r="G123" s="283" t="s">
        <v>21</v>
      </c>
      <c r="H123" s="283" t="s">
        <v>22</v>
      </c>
    </row>
    <row r="124" spans="2:8" s="152" customFormat="1" ht="11.25" customHeight="1" thickBot="1" x14ac:dyDescent="0.25">
      <c r="B124" s="175" t="s">
        <v>1723</v>
      </c>
      <c r="C124" s="153">
        <v>8000</v>
      </c>
      <c r="D124" s="154">
        <f t="shared" ref="D124:D163" si="8">IF(B124="","",VLOOKUP(B124,INVENTARIO,2))</f>
        <v>3.3000000000000002E-2</v>
      </c>
      <c r="E124" s="154">
        <f>IF(C124=0,"",C124*D124)</f>
        <v>264</v>
      </c>
      <c r="F124" s="185">
        <v>12000</v>
      </c>
      <c r="G124" s="154">
        <f>D124</f>
        <v>3.3000000000000002E-2</v>
      </c>
      <c r="H124" s="155">
        <f>IF(F124=0,"",F124*G124)</f>
        <v>396</v>
      </c>
    </row>
    <row r="125" spans="2:8" s="152" customFormat="1" ht="11.25" customHeight="1" thickBot="1" x14ac:dyDescent="0.25">
      <c r="B125" s="175" t="s">
        <v>1724</v>
      </c>
      <c r="C125" s="156">
        <v>20000</v>
      </c>
      <c r="D125" s="155">
        <f t="shared" si="8"/>
        <v>4.3999999999999997E-2</v>
      </c>
      <c r="E125" s="155">
        <f t="shared" ref="E125:E163" si="9">IF(C125=0,"",C125*D125)</f>
        <v>880</v>
      </c>
      <c r="F125" s="181">
        <v>8500</v>
      </c>
      <c r="G125" s="155">
        <f t="shared" ref="G125:G163" si="10">D125</f>
        <v>4.3999999999999997E-2</v>
      </c>
      <c r="H125" s="155">
        <f t="shared" ref="H125:H163" si="11">IF(F125=0,"",F125*G125)</f>
        <v>374</v>
      </c>
    </row>
    <row r="126" spans="2:8" s="152" customFormat="1" ht="11.25" customHeight="1" x14ac:dyDescent="0.2">
      <c r="B126" s="175" t="s">
        <v>1725</v>
      </c>
      <c r="C126" s="156">
        <v>8000</v>
      </c>
      <c r="D126" s="155">
        <f t="shared" si="8"/>
        <v>3.5000000000000003E-2</v>
      </c>
      <c r="E126" s="155">
        <f t="shared" si="9"/>
        <v>280</v>
      </c>
      <c r="F126" s="181">
        <v>1000</v>
      </c>
      <c r="G126" s="155">
        <f t="shared" si="10"/>
        <v>3.5000000000000003E-2</v>
      </c>
      <c r="H126" s="155">
        <f t="shared" si="11"/>
        <v>35</v>
      </c>
    </row>
    <row r="127" spans="2:8" s="152" customFormat="1" ht="11.25" customHeight="1" x14ac:dyDescent="0.2">
      <c r="B127" s="176" t="s">
        <v>1694</v>
      </c>
      <c r="C127" s="156">
        <v>5000</v>
      </c>
      <c r="D127" s="155">
        <f t="shared" si="8"/>
        <v>1.4999999999999999E-2</v>
      </c>
      <c r="E127" s="155">
        <f t="shared" si="9"/>
        <v>75</v>
      </c>
      <c r="F127" s="181">
        <v>500</v>
      </c>
      <c r="G127" s="155">
        <f t="shared" si="10"/>
        <v>1.4999999999999999E-2</v>
      </c>
      <c r="H127" s="155">
        <f t="shared" si="11"/>
        <v>7.5</v>
      </c>
    </row>
    <row r="128" spans="2:8" s="152" customFormat="1" ht="11.25" customHeight="1" x14ac:dyDescent="0.2">
      <c r="B128" s="176" t="s">
        <v>1702</v>
      </c>
      <c r="C128" s="156">
        <v>5000</v>
      </c>
      <c r="D128" s="155">
        <f t="shared" si="8"/>
        <v>1.4999999999999999E-2</v>
      </c>
      <c r="E128" s="155">
        <f t="shared" si="9"/>
        <v>75</v>
      </c>
      <c r="F128" s="181">
        <v>600</v>
      </c>
      <c r="G128" s="155">
        <f t="shared" si="10"/>
        <v>1.4999999999999999E-2</v>
      </c>
      <c r="H128" s="155">
        <f t="shared" si="11"/>
        <v>9</v>
      </c>
    </row>
    <row r="129" spans="2:8" s="152" customFormat="1" ht="11.25" customHeight="1" x14ac:dyDescent="0.2">
      <c r="B129" s="176" t="s">
        <v>1698</v>
      </c>
      <c r="C129" s="156"/>
      <c r="D129" s="155">
        <f t="shared" si="8"/>
        <v>1.4E-2</v>
      </c>
      <c r="E129" s="155" t="str">
        <f t="shared" si="9"/>
        <v/>
      </c>
      <c r="F129" s="181">
        <v>4500</v>
      </c>
      <c r="G129" s="155">
        <f t="shared" si="10"/>
        <v>1.4E-2</v>
      </c>
      <c r="H129" s="155">
        <f t="shared" si="11"/>
        <v>63</v>
      </c>
    </row>
    <row r="130" spans="2:8" s="152" customFormat="1" ht="11.25" customHeight="1" x14ac:dyDescent="0.2">
      <c r="B130" s="176" t="s">
        <v>1701</v>
      </c>
      <c r="C130" s="156">
        <v>2000</v>
      </c>
      <c r="D130" s="155">
        <f t="shared" si="8"/>
        <v>0.125</v>
      </c>
      <c r="E130" s="155">
        <f t="shared" si="9"/>
        <v>250</v>
      </c>
      <c r="F130" s="181">
        <v>200</v>
      </c>
      <c r="G130" s="155">
        <f t="shared" si="10"/>
        <v>0.125</v>
      </c>
      <c r="H130" s="155">
        <f t="shared" si="11"/>
        <v>25</v>
      </c>
    </row>
    <row r="131" spans="2:8" s="152" customFormat="1" ht="11.25" customHeight="1" x14ac:dyDescent="0.2">
      <c r="B131" s="176" t="s">
        <v>1726</v>
      </c>
      <c r="C131" s="156">
        <v>30</v>
      </c>
      <c r="D131" s="155">
        <f t="shared" si="8"/>
        <v>8.0000000000000002E-3</v>
      </c>
      <c r="E131" s="155">
        <f t="shared" si="9"/>
        <v>0.24</v>
      </c>
      <c r="F131" s="181">
        <v>1500</v>
      </c>
      <c r="G131" s="155">
        <f t="shared" si="10"/>
        <v>8.0000000000000002E-3</v>
      </c>
      <c r="H131" s="155">
        <f t="shared" si="11"/>
        <v>12</v>
      </c>
    </row>
    <row r="132" spans="2:8" s="152" customFormat="1" ht="11.25" customHeight="1" x14ac:dyDescent="0.2">
      <c r="B132" s="176" t="s">
        <v>1727</v>
      </c>
      <c r="C132" s="156">
        <v>8000</v>
      </c>
      <c r="D132" s="155">
        <f t="shared" si="8"/>
        <v>5.0000000000000001E-3</v>
      </c>
      <c r="E132" s="155">
        <f t="shared" si="9"/>
        <v>40</v>
      </c>
      <c r="F132" s="181">
        <v>2000</v>
      </c>
      <c r="G132" s="155">
        <f t="shared" si="10"/>
        <v>5.0000000000000001E-3</v>
      </c>
      <c r="H132" s="155">
        <f t="shared" si="11"/>
        <v>10</v>
      </c>
    </row>
    <row r="133" spans="2:8" s="152" customFormat="1" ht="11.25" customHeight="1" x14ac:dyDescent="0.2">
      <c r="B133" s="176" t="s">
        <v>1728</v>
      </c>
      <c r="C133" s="156"/>
      <c r="D133" s="155">
        <f t="shared" si="8"/>
        <v>1.4E-2</v>
      </c>
      <c r="E133" s="155" t="str">
        <f t="shared" si="9"/>
        <v/>
      </c>
      <c r="F133" s="181">
        <v>3000</v>
      </c>
      <c r="G133" s="155">
        <f t="shared" si="10"/>
        <v>1.4E-2</v>
      </c>
      <c r="H133" s="155">
        <f t="shared" si="11"/>
        <v>42</v>
      </c>
    </row>
    <row r="134" spans="2:8" s="152" customFormat="1" ht="11.25" customHeight="1" x14ac:dyDescent="0.2">
      <c r="B134" s="176" t="s">
        <v>1729</v>
      </c>
      <c r="C134" s="156">
        <v>4000</v>
      </c>
      <c r="D134" s="155">
        <f t="shared" si="8"/>
        <v>1.3859999999999999E-2</v>
      </c>
      <c r="E134" s="155">
        <f t="shared" si="9"/>
        <v>55.44</v>
      </c>
      <c r="F134" s="181">
        <v>15000</v>
      </c>
      <c r="G134" s="155">
        <f t="shared" si="10"/>
        <v>1.3859999999999999E-2</v>
      </c>
      <c r="H134" s="155">
        <f t="shared" si="11"/>
        <v>207.89999999999998</v>
      </c>
    </row>
    <row r="135" spans="2:8" s="152" customFormat="1" ht="11.25" customHeight="1" x14ac:dyDescent="0.2">
      <c r="B135" s="176" t="s">
        <v>1708</v>
      </c>
      <c r="C135" s="156">
        <v>4000</v>
      </c>
      <c r="D135" s="155">
        <f t="shared" si="8"/>
        <v>6.3829999999999998E-2</v>
      </c>
      <c r="E135" s="155">
        <f t="shared" si="9"/>
        <v>255.32</v>
      </c>
      <c r="F135" s="181">
        <v>600</v>
      </c>
      <c r="G135" s="155">
        <f t="shared" si="10"/>
        <v>6.3829999999999998E-2</v>
      </c>
      <c r="H135" s="155">
        <f t="shared" si="11"/>
        <v>38.298000000000002</v>
      </c>
    </row>
    <row r="136" spans="2:8" s="152" customFormat="1" ht="11.25" customHeight="1" x14ac:dyDescent="0.2">
      <c r="B136" s="176" t="s">
        <v>1680</v>
      </c>
      <c r="C136" s="156">
        <v>4000</v>
      </c>
      <c r="D136" s="155">
        <f t="shared" si="8"/>
        <v>1.5</v>
      </c>
      <c r="E136" s="155">
        <f t="shared" si="9"/>
        <v>6000</v>
      </c>
      <c r="F136" s="181">
        <v>10</v>
      </c>
      <c r="G136" s="155">
        <f t="shared" si="10"/>
        <v>1.5</v>
      </c>
      <c r="H136" s="155">
        <f t="shared" si="11"/>
        <v>15</v>
      </c>
    </row>
    <row r="137" spans="2:8" s="152" customFormat="1" ht="11.25" customHeight="1" x14ac:dyDescent="0.2">
      <c r="B137" s="176" t="s">
        <v>1673</v>
      </c>
      <c r="C137" s="156">
        <v>2000</v>
      </c>
      <c r="D137" s="155">
        <f t="shared" si="8"/>
        <v>1.5090000000000001E-2</v>
      </c>
      <c r="E137" s="155">
        <f t="shared" si="9"/>
        <v>30.180000000000003</v>
      </c>
      <c r="F137" s="181">
        <v>1500</v>
      </c>
      <c r="G137" s="155">
        <f t="shared" si="10"/>
        <v>1.5090000000000001E-2</v>
      </c>
      <c r="H137" s="155">
        <f t="shared" si="11"/>
        <v>22.635000000000002</v>
      </c>
    </row>
    <row r="138" spans="2:8" s="152" customFormat="1" ht="11.25" customHeight="1" x14ac:dyDescent="0.2">
      <c r="B138" s="176" t="s">
        <v>1730</v>
      </c>
      <c r="C138" s="156"/>
      <c r="D138" s="155">
        <f t="shared" si="8"/>
        <v>5.2699999999999995E-3</v>
      </c>
      <c r="E138" s="155"/>
      <c r="F138" s="181">
        <v>1000</v>
      </c>
      <c r="G138" s="155">
        <f t="shared" si="10"/>
        <v>5.2699999999999995E-3</v>
      </c>
      <c r="H138" s="155">
        <f t="shared" si="11"/>
        <v>5.27</v>
      </c>
    </row>
    <row r="139" spans="2:8" s="152" customFormat="1" ht="11.25" customHeight="1" x14ac:dyDescent="0.2">
      <c r="B139" s="176" t="s">
        <v>1731</v>
      </c>
      <c r="C139" s="156"/>
      <c r="D139" s="155">
        <f t="shared" si="8"/>
        <v>1.2219999999999998E-2</v>
      </c>
      <c r="E139" s="155"/>
      <c r="F139" s="181">
        <v>3000</v>
      </c>
      <c r="G139" s="155">
        <f t="shared" si="10"/>
        <v>1.2219999999999998E-2</v>
      </c>
      <c r="H139" s="155">
        <f t="shared" si="11"/>
        <v>36.659999999999997</v>
      </c>
    </row>
    <row r="140" spans="2:8" s="152" customFormat="1" ht="11.25" customHeight="1" x14ac:dyDescent="0.2">
      <c r="B140" s="176" t="s">
        <v>1732</v>
      </c>
      <c r="C140" s="156"/>
      <c r="D140" s="155">
        <f t="shared" si="8"/>
        <v>78.273333333333326</v>
      </c>
      <c r="E140" s="155"/>
      <c r="F140" s="181">
        <v>1</v>
      </c>
      <c r="G140" s="155">
        <f t="shared" si="10"/>
        <v>78.273333333333326</v>
      </c>
      <c r="H140" s="155">
        <f t="shared" si="11"/>
        <v>78.273333333333326</v>
      </c>
    </row>
    <row r="141" spans="2:8" s="152" customFormat="1" ht="11.25" customHeight="1" x14ac:dyDescent="0.2">
      <c r="B141" s="176" t="s">
        <v>1709</v>
      </c>
      <c r="C141" s="156"/>
      <c r="D141" s="155">
        <f t="shared" si="8"/>
        <v>4.28E-3</v>
      </c>
      <c r="E141" s="155"/>
      <c r="F141" s="181">
        <v>3000</v>
      </c>
      <c r="G141" s="155">
        <f t="shared" si="10"/>
        <v>4.28E-3</v>
      </c>
      <c r="H141" s="155">
        <f t="shared" si="11"/>
        <v>12.84</v>
      </c>
    </row>
    <row r="142" spans="2:8" s="152" customFormat="1" ht="11.25" customHeight="1" x14ac:dyDescent="0.2">
      <c r="B142" s="176" t="s">
        <v>1733</v>
      </c>
      <c r="C142" s="156"/>
      <c r="D142" s="155">
        <f t="shared" si="8"/>
        <v>1.2E-2</v>
      </c>
      <c r="E142" s="155"/>
      <c r="F142" s="181">
        <v>4000</v>
      </c>
      <c r="G142" s="155">
        <f t="shared" si="10"/>
        <v>1.2E-2</v>
      </c>
      <c r="H142" s="155">
        <f t="shared" si="11"/>
        <v>48</v>
      </c>
    </row>
    <row r="143" spans="2:8" s="152" customFormat="1" ht="11.25" customHeight="1" x14ac:dyDescent="0.2">
      <c r="B143" s="176" t="s">
        <v>1710</v>
      </c>
      <c r="C143" s="156"/>
      <c r="D143" s="155">
        <f t="shared" si="8"/>
        <v>1.2538271604938271E-2</v>
      </c>
      <c r="E143" s="155"/>
      <c r="F143" s="181">
        <v>600</v>
      </c>
      <c r="G143" s="155">
        <f t="shared" si="10"/>
        <v>1.2538271604938271E-2</v>
      </c>
      <c r="H143" s="155">
        <f t="shared" si="11"/>
        <v>7.5229629629629633</v>
      </c>
    </row>
    <row r="144" spans="2:8" s="152" customFormat="1" ht="11.25" customHeight="1" x14ac:dyDescent="0.2">
      <c r="B144" s="176" t="s">
        <v>1712</v>
      </c>
      <c r="C144" s="156"/>
      <c r="D144" s="155">
        <f t="shared" si="8"/>
        <v>2.5856000000000001E-2</v>
      </c>
      <c r="E144" s="155"/>
      <c r="F144" s="181">
        <v>300</v>
      </c>
      <c r="G144" s="155">
        <f t="shared" si="10"/>
        <v>2.5856000000000001E-2</v>
      </c>
      <c r="H144" s="155">
        <f t="shared" si="11"/>
        <v>7.7568000000000001</v>
      </c>
    </row>
    <row r="145" spans="2:8" s="152" customFormat="1" ht="11.25" customHeight="1" x14ac:dyDescent="0.2">
      <c r="B145" s="176" t="s">
        <v>1734</v>
      </c>
      <c r="C145" s="156"/>
      <c r="D145" s="155">
        <f t="shared" si="8"/>
        <v>6.1285714285714284E-2</v>
      </c>
      <c r="E145" s="155"/>
      <c r="F145" s="181">
        <v>700</v>
      </c>
      <c r="G145" s="155">
        <f t="shared" si="10"/>
        <v>6.1285714285714284E-2</v>
      </c>
      <c r="H145" s="155">
        <f t="shared" si="11"/>
        <v>42.9</v>
      </c>
    </row>
    <row r="146" spans="2:8" s="152" customFormat="1" ht="11.25" customHeight="1" x14ac:dyDescent="0.2">
      <c r="B146" s="176" t="s">
        <v>1681</v>
      </c>
      <c r="C146" s="156"/>
      <c r="D146" s="155">
        <f t="shared" si="8"/>
        <v>7.2</v>
      </c>
      <c r="E146" s="155"/>
      <c r="F146" s="181">
        <v>2</v>
      </c>
      <c r="G146" s="155">
        <f t="shared" si="10"/>
        <v>7.2</v>
      </c>
      <c r="H146" s="155">
        <f t="shared" si="11"/>
        <v>14.4</v>
      </c>
    </row>
    <row r="147" spans="2:8" s="152" customFormat="1" ht="11.25" customHeight="1" x14ac:dyDescent="0.2">
      <c r="B147" s="176"/>
      <c r="C147" s="156"/>
      <c r="D147" s="155" t="str">
        <f t="shared" si="8"/>
        <v/>
      </c>
      <c r="E147" s="155"/>
      <c r="F147" s="181"/>
      <c r="G147" s="155" t="str">
        <f t="shared" si="10"/>
        <v/>
      </c>
      <c r="H147" s="155" t="str">
        <f t="shared" si="11"/>
        <v/>
      </c>
    </row>
    <row r="148" spans="2:8" s="152" customFormat="1" ht="11.25" customHeight="1" x14ac:dyDescent="0.2">
      <c r="B148" s="176"/>
      <c r="C148" s="156"/>
      <c r="D148" s="155" t="str">
        <f t="shared" si="8"/>
        <v/>
      </c>
      <c r="E148" s="155"/>
      <c r="F148" s="181"/>
      <c r="G148" s="155" t="str">
        <f t="shared" si="10"/>
        <v/>
      </c>
      <c r="H148" s="155" t="str">
        <f t="shared" si="11"/>
        <v/>
      </c>
    </row>
    <row r="149" spans="2:8" ht="11.25" customHeight="1" x14ac:dyDescent="0.2">
      <c r="B149" s="176"/>
      <c r="C149" s="156"/>
      <c r="D149" s="155" t="str">
        <f t="shared" si="8"/>
        <v/>
      </c>
      <c r="E149" s="155"/>
      <c r="F149" s="181"/>
      <c r="G149" s="155" t="str">
        <f t="shared" si="10"/>
        <v/>
      </c>
      <c r="H149" s="155" t="str">
        <f t="shared" si="11"/>
        <v/>
      </c>
    </row>
    <row r="150" spans="2:8" ht="11.25" customHeight="1" x14ac:dyDescent="0.2">
      <c r="B150" s="176"/>
      <c r="C150" s="156"/>
      <c r="D150" s="155" t="str">
        <f t="shared" si="8"/>
        <v/>
      </c>
      <c r="E150" s="155"/>
      <c r="F150" s="181"/>
      <c r="G150" s="155" t="str">
        <f t="shared" si="10"/>
        <v/>
      </c>
      <c r="H150" s="155" t="str">
        <f t="shared" si="11"/>
        <v/>
      </c>
    </row>
    <row r="151" spans="2:8" ht="11.25" customHeight="1" x14ac:dyDescent="0.2">
      <c r="B151" s="176"/>
      <c r="C151" s="156"/>
      <c r="D151" s="155" t="str">
        <f t="shared" si="8"/>
        <v/>
      </c>
      <c r="E151" s="155"/>
      <c r="F151" s="181"/>
      <c r="G151" s="155" t="str">
        <f t="shared" si="10"/>
        <v/>
      </c>
      <c r="H151" s="155" t="str">
        <f t="shared" si="11"/>
        <v/>
      </c>
    </row>
    <row r="152" spans="2:8" ht="11.25" customHeight="1" x14ac:dyDescent="0.2">
      <c r="B152" s="176"/>
      <c r="C152" s="156"/>
      <c r="D152" s="155" t="str">
        <f t="shared" si="8"/>
        <v/>
      </c>
      <c r="E152" s="155"/>
      <c r="F152" s="181"/>
      <c r="G152" s="155" t="str">
        <f t="shared" si="10"/>
        <v/>
      </c>
      <c r="H152" s="155" t="str">
        <f t="shared" si="11"/>
        <v/>
      </c>
    </row>
    <row r="153" spans="2:8" ht="11.25" customHeight="1" x14ac:dyDescent="0.2">
      <c r="B153" s="176"/>
      <c r="C153" s="156"/>
      <c r="D153" s="155" t="str">
        <f t="shared" si="8"/>
        <v/>
      </c>
      <c r="E153" s="155" t="str">
        <f t="shared" si="9"/>
        <v/>
      </c>
      <c r="F153" s="181"/>
      <c r="G153" s="155" t="str">
        <f t="shared" si="10"/>
        <v/>
      </c>
      <c r="H153" s="155" t="str">
        <f t="shared" si="11"/>
        <v/>
      </c>
    </row>
    <row r="154" spans="2:8" ht="11.25" customHeight="1" x14ac:dyDescent="0.2">
      <c r="B154" s="176"/>
      <c r="C154" s="156"/>
      <c r="D154" s="155" t="str">
        <f t="shared" si="8"/>
        <v/>
      </c>
      <c r="E154" s="155" t="str">
        <f t="shared" si="9"/>
        <v/>
      </c>
      <c r="F154" s="181"/>
      <c r="G154" s="155" t="str">
        <f t="shared" si="10"/>
        <v/>
      </c>
      <c r="H154" s="155" t="str">
        <f t="shared" si="11"/>
        <v/>
      </c>
    </row>
    <row r="155" spans="2:8" ht="11.25" customHeight="1" x14ac:dyDescent="0.2">
      <c r="B155" s="176"/>
      <c r="C155" s="156"/>
      <c r="D155" s="155" t="str">
        <f t="shared" si="8"/>
        <v/>
      </c>
      <c r="E155" s="155" t="str">
        <f t="shared" si="9"/>
        <v/>
      </c>
      <c r="F155" s="181"/>
      <c r="G155" s="155" t="str">
        <f t="shared" si="10"/>
        <v/>
      </c>
      <c r="H155" s="155" t="str">
        <f t="shared" si="11"/>
        <v/>
      </c>
    </row>
    <row r="156" spans="2:8" ht="11.25" customHeight="1" x14ac:dyDescent="0.2">
      <c r="B156" s="176"/>
      <c r="C156" s="156"/>
      <c r="D156" s="155" t="str">
        <f t="shared" si="8"/>
        <v/>
      </c>
      <c r="E156" s="155" t="str">
        <f t="shared" si="9"/>
        <v/>
      </c>
      <c r="F156" s="181"/>
      <c r="G156" s="155" t="str">
        <f t="shared" si="10"/>
        <v/>
      </c>
      <c r="H156" s="155" t="str">
        <f t="shared" si="11"/>
        <v/>
      </c>
    </row>
    <row r="157" spans="2:8" ht="11.25" customHeight="1" x14ac:dyDescent="0.2">
      <c r="B157" s="176"/>
      <c r="C157" s="156"/>
      <c r="D157" s="155" t="str">
        <f t="shared" si="8"/>
        <v/>
      </c>
      <c r="E157" s="155" t="str">
        <f t="shared" si="9"/>
        <v/>
      </c>
      <c r="F157" s="181"/>
      <c r="G157" s="155" t="str">
        <f t="shared" si="10"/>
        <v/>
      </c>
      <c r="H157" s="155" t="str">
        <f t="shared" si="11"/>
        <v/>
      </c>
    </row>
    <row r="158" spans="2:8" ht="11.25" customHeight="1" x14ac:dyDescent="0.2">
      <c r="B158" s="176"/>
      <c r="C158" s="156"/>
      <c r="D158" s="155" t="str">
        <f t="shared" si="8"/>
        <v/>
      </c>
      <c r="E158" s="155" t="str">
        <f t="shared" si="9"/>
        <v/>
      </c>
      <c r="F158" s="181"/>
      <c r="G158" s="155" t="str">
        <f t="shared" si="10"/>
        <v/>
      </c>
      <c r="H158" s="155" t="str">
        <f t="shared" si="11"/>
        <v/>
      </c>
    </row>
    <row r="159" spans="2:8" ht="11.25" customHeight="1" x14ac:dyDescent="0.2">
      <c r="B159" s="176"/>
      <c r="C159" s="156"/>
      <c r="D159" s="155" t="str">
        <f t="shared" si="8"/>
        <v/>
      </c>
      <c r="E159" s="155" t="str">
        <f t="shared" si="9"/>
        <v/>
      </c>
      <c r="F159" s="181"/>
      <c r="G159" s="155" t="str">
        <f t="shared" si="10"/>
        <v/>
      </c>
      <c r="H159" s="155" t="str">
        <f t="shared" si="11"/>
        <v/>
      </c>
    </row>
    <row r="160" spans="2:8" ht="11.25" customHeight="1" x14ac:dyDescent="0.2">
      <c r="B160" s="176"/>
      <c r="C160" s="156"/>
      <c r="D160" s="155" t="str">
        <f t="shared" si="8"/>
        <v/>
      </c>
      <c r="E160" s="155" t="str">
        <f t="shared" si="9"/>
        <v/>
      </c>
      <c r="F160" s="181"/>
      <c r="G160" s="155" t="str">
        <f t="shared" si="10"/>
        <v/>
      </c>
      <c r="H160" s="155" t="str">
        <f t="shared" si="11"/>
        <v/>
      </c>
    </row>
    <row r="161" spans="1:8" ht="11.25" customHeight="1" x14ac:dyDescent="0.2">
      <c r="B161" s="176"/>
      <c r="C161" s="156"/>
      <c r="D161" s="155" t="str">
        <f t="shared" si="8"/>
        <v/>
      </c>
      <c r="E161" s="155" t="str">
        <f t="shared" si="9"/>
        <v/>
      </c>
      <c r="F161" s="181"/>
      <c r="G161" s="155" t="str">
        <f t="shared" si="10"/>
        <v/>
      </c>
      <c r="H161" s="155" t="str">
        <f t="shared" si="11"/>
        <v/>
      </c>
    </row>
    <row r="162" spans="1:8" ht="11.25" customHeight="1" x14ac:dyDescent="0.2">
      <c r="B162" s="194"/>
      <c r="C162" s="320"/>
      <c r="D162" s="155" t="str">
        <f t="shared" si="8"/>
        <v/>
      </c>
      <c r="E162" s="310"/>
      <c r="F162" s="308"/>
      <c r="G162" s="155" t="str">
        <f t="shared" si="10"/>
        <v/>
      </c>
      <c r="H162" s="155"/>
    </row>
    <row r="163" spans="1:8" ht="12" customHeight="1" thickBot="1" x14ac:dyDescent="0.25">
      <c r="B163" s="284"/>
      <c r="C163" s="285"/>
      <c r="D163" s="155" t="str">
        <f t="shared" si="8"/>
        <v/>
      </c>
      <c r="E163" s="309" t="str">
        <f t="shared" si="9"/>
        <v/>
      </c>
      <c r="F163" s="286"/>
      <c r="G163" s="155" t="str">
        <f t="shared" si="10"/>
        <v/>
      </c>
      <c r="H163" s="155" t="str">
        <f t="shared" si="11"/>
        <v/>
      </c>
    </row>
    <row r="164" spans="1:8" ht="12.75" customHeight="1" thickBot="1" x14ac:dyDescent="0.25">
      <c r="A164" s="159"/>
      <c r="B164" s="287" t="s">
        <v>831</v>
      </c>
      <c r="C164" s="288"/>
      <c r="D164" s="311"/>
      <c r="E164" s="292">
        <f>SUM(E125:E163)</f>
        <v>7941.18</v>
      </c>
      <c r="F164" s="287" t="s">
        <v>831</v>
      </c>
      <c r="G164" s="288"/>
      <c r="H164" s="292">
        <f>SUM(H124:H163)</f>
        <v>1510.9560962962967</v>
      </c>
    </row>
    <row r="165" spans="1:8" ht="12.75" customHeight="1" thickBot="1" x14ac:dyDescent="0.25">
      <c r="A165" s="159"/>
      <c r="B165" s="287" t="s">
        <v>832</v>
      </c>
      <c r="C165" s="288"/>
      <c r="D165" s="288"/>
      <c r="E165" s="321">
        <f>E164*10/100</f>
        <v>794.11800000000005</v>
      </c>
      <c r="F165" s="312" t="s">
        <v>832</v>
      </c>
      <c r="G165" s="295"/>
      <c r="H165" s="292">
        <f>H164*10/100</f>
        <v>151.09560962962968</v>
      </c>
    </row>
    <row r="166" spans="1:8" ht="12.75" customHeight="1" thickBot="1" x14ac:dyDescent="0.25">
      <c r="A166" s="159"/>
      <c r="B166" s="287" t="s">
        <v>24</v>
      </c>
      <c r="C166" s="288"/>
      <c r="D166" s="288"/>
      <c r="E166" s="155">
        <f>E164+E165</f>
        <v>8735.2980000000007</v>
      </c>
      <c r="F166" s="287" t="s">
        <v>24</v>
      </c>
      <c r="G166" s="295"/>
      <c r="H166" s="292">
        <f>H164+H165</f>
        <v>1662.0517059259264</v>
      </c>
    </row>
    <row r="167" spans="1:8" ht="12.75" customHeight="1" thickBot="1" x14ac:dyDescent="0.25">
      <c r="B167" s="291" t="s">
        <v>10</v>
      </c>
      <c r="C167" s="288"/>
      <c r="D167" s="288"/>
      <c r="E167" s="322">
        <v>105</v>
      </c>
      <c r="F167" s="287" t="s">
        <v>10</v>
      </c>
      <c r="G167" s="288"/>
      <c r="H167" s="297">
        <v>93</v>
      </c>
    </row>
    <row r="168" spans="1:8" ht="12.75" customHeight="1" thickBot="1" x14ac:dyDescent="0.25">
      <c r="B168" s="298" t="s">
        <v>1261</v>
      </c>
      <c r="C168" s="288"/>
      <c r="D168" s="288"/>
      <c r="E168" s="323">
        <f>E166/E167</f>
        <v>83.193314285714294</v>
      </c>
      <c r="F168" s="287" t="s">
        <v>1261</v>
      </c>
      <c r="G168" s="288"/>
      <c r="H168" s="292">
        <f>H166/H167</f>
        <v>17.871523719633618</v>
      </c>
    </row>
    <row r="169" spans="1:8" ht="12" customHeight="1" thickBot="1" x14ac:dyDescent="0.25">
      <c r="B169" s="283" t="s">
        <v>48</v>
      </c>
      <c r="C169" s="315" t="s">
        <v>1722</v>
      </c>
      <c r="D169" s="316"/>
      <c r="E169" s="316"/>
      <c r="F169" s="316"/>
      <c r="G169" s="316"/>
      <c r="H169" s="318"/>
    </row>
    <row r="170" spans="1:8" ht="12" customHeight="1" thickBot="1" x14ac:dyDescent="0.25">
      <c r="B170" s="283" t="s">
        <v>15</v>
      </c>
      <c r="C170" s="302" t="s">
        <v>1714</v>
      </c>
      <c r="D170" s="303"/>
      <c r="E170" s="303"/>
      <c r="F170" s="303"/>
      <c r="G170" s="303"/>
      <c r="H170" s="304"/>
    </row>
    <row r="171" spans="1:8" ht="12" customHeight="1" thickBot="1" x14ac:dyDescent="0.25">
      <c r="B171" s="283" t="s">
        <v>16</v>
      </c>
      <c r="C171" s="302" t="s">
        <v>1715</v>
      </c>
      <c r="D171" s="303"/>
      <c r="E171" s="303"/>
      <c r="F171" s="303"/>
      <c r="G171" s="303"/>
      <c r="H171" s="304"/>
    </row>
    <row r="172" spans="1:8" ht="12" customHeight="1" thickBot="1" x14ac:dyDescent="0.25">
      <c r="B172" s="283" t="s">
        <v>17</v>
      </c>
      <c r="C172" s="302" t="s">
        <v>1716</v>
      </c>
      <c r="D172" s="303"/>
      <c r="E172" s="303"/>
      <c r="F172" s="303"/>
      <c r="G172" s="303"/>
      <c r="H172" s="304"/>
    </row>
    <row r="173" spans="1:8" ht="12" customHeight="1" thickBot="1" x14ac:dyDescent="0.25">
      <c r="B173" s="283" t="s">
        <v>18</v>
      </c>
      <c r="C173" s="302" t="s">
        <v>1717</v>
      </c>
      <c r="D173" s="303"/>
      <c r="E173" s="303"/>
      <c r="F173" s="303"/>
      <c r="G173" s="303"/>
      <c r="H173" s="304"/>
    </row>
    <row r="174" spans="1:8" ht="12" customHeight="1" thickBot="1" x14ac:dyDescent="0.25">
      <c r="B174" s="283" t="s">
        <v>49</v>
      </c>
      <c r="C174" s="302" t="s">
        <v>1718</v>
      </c>
      <c r="D174" s="303"/>
      <c r="E174" s="303"/>
      <c r="F174" s="303"/>
      <c r="G174" s="303"/>
      <c r="H174" s="304"/>
    </row>
    <row r="175" spans="1:8" ht="12" customHeight="1" thickBot="1" x14ac:dyDescent="0.25">
      <c r="B175" s="283" t="s">
        <v>51</v>
      </c>
      <c r="C175" s="302" t="s">
        <v>1719</v>
      </c>
      <c r="D175" s="303"/>
      <c r="E175" s="303"/>
      <c r="F175" s="303"/>
      <c r="G175" s="303"/>
      <c r="H175" s="304"/>
    </row>
    <row r="176" spans="1:8" ht="12" customHeight="1" thickBot="1" x14ac:dyDescent="0.25">
      <c r="B176" s="283" t="s">
        <v>47</v>
      </c>
      <c r="C176" s="302" t="s">
        <v>1720</v>
      </c>
      <c r="D176" s="303"/>
      <c r="E176" s="303"/>
      <c r="F176" s="303"/>
      <c r="G176" s="303"/>
      <c r="H176" s="304"/>
    </row>
    <row r="177" spans="2:8" ht="12" customHeight="1" thickBot="1" x14ac:dyDescent="0.25">
      <c r="B177" s="283" t="s">
        <v>50</v>
      </c>
      <c r="C177" s="305" t="s">
        <v>1721</v>
      </c>
      <c r="D177" s="306"/>
      <c r="E177" s="306"/>
      <c r="F177" s="306"/>
      <c r="G177" s="306"/>
      <c r="H177" s="307"/>
    </row>
    <row r="178" spans="2:8" ht="12" customHeight="1" thickBot="1" x14ac:dyDescent="0.25">
      <c r="B178" s="152"/>
      <c r="C178" s="319"/>
      <c r="D178" s="319"/>
      <c r="E178" s="319"/>
      <c r="F178" s="319"/>
      <c r="G178" s="319"/>
      <c r="H178" s="319"/>
    </row>
    <row r="179" spans="2:8" ht="21.75" customHeight="1" thickBot="1" x14ac:dyDescent="0.4">
      <c r="B179" s="277" t="s">
        <v>1893</v>
      </c>
      <c r="C179" s="278"/>
      <c r="D179" s="278"/>
      <c r="E179" s="278"/>
      <c r="F179" s="278"/>
      <c r="G179" s="278"/>
      <c r="H179" s="279"/>
    </row>
    <row r="180" spans="2:8" ht="12" customHeight="1" thickBot="1" x14ac:dyDescent="0.25">
      <c r="B180" s="280" t="s">
        <v>1891</v>
      </c>
      <c r="C180" s="281"/>
      <c r="D180" s="281"/>
      <c r="E180" s="282"/>
      <c r="F180" s="280" t="s">
        <v>1890</v>
      </c>
      <c r="G180" s="281"/>
      <c r="H180" s="282"/>
    </row>
    <row r="181" spans="2:8" ht="12" customHeight="1" thickBot="1" x14ac:dyDescent="0.25">
      <c r="B181" s="283" t="s">
        <v>1896</v>
      </c>
      <c r="C181" s="283" t="s">
        <v>20</v>
      </c>
      <c r="D181" s="283" t="s">
        <v>21</v>
      </c>
      <c r="E181" s="283" t="s">
        <v>22</v>
      </c>
      <c r="F181" s="283" t="s">
        <v>20</v>
      </c>
      <c r="G181" s="283" t="s">
        <v>21</v>
      </c>
      <c r="H181" s="283" t="s">
        <v>22</v>
      </c>
    </row>
    <row r="182" spans="2:8" s="152" customFormat="1" ht="11.25" customHeight="1" x14ac:dyDescent="0.2">
      <c r="B182" s="175" t="s">
        <v>1692</v>
      </c>
      <c r="C182" s="160">
        <v>3000</v>
      </c>
      <c r="D182" s="154">
        <f t="shared" ref="D182:D220" si="12">IF(B182="","",VLOOKUP(B182,INVENTARIO,2))</f>
        <v>0</v>
      </c>
      <c r="E182" s="154">
        <f>IF(C182=0,"",C182*D182)</f>
        <v>0</v>
      </c>
      <c r="F182" s="185">
        <v>4000</v>
      </c>
      <c r="G182" s="154">
        <f>D182</f>
        <v>0</v>
      </c>
      <c r="H182" s="155">
        <f>IF(F182=0,"",F182*G182)</f>
        <v>0</v>
      </c>
    </row>
    <row r="183" spans="2:8" s="152" customFormat="1" ht="11.25" customHeight="1" x14ac:dyDescent="0.2">
      <c r="B183" s="176" t="s">
        <v>1693</v>
      </c>
      <c r="C183" s="161">
        <v>10000</v>
      </c>
      <c r="D183" s="155">
        <f t="shared" si="12"/>
        <v>0</v>
      </c>
      <c r="E183" s="155">
        <f t="shared" ref="E183:E186" si="13">IF(C183=0,"",C183*D183)</f>
        <v>0</v>
      </c>
      <c r="F183" s="181">
        <v>3000</v>
      </c>
      <c r="G183" s="155">
        <f t="shared" ref="G183:G220" si="14">D183</f>
        <v>0</v>
      </c>
      <c r="H183" s="155">
        <f t="shared" ref="H183:H220" si="15">IF(F183=0,"",F183*G183)</f>
        <v>0</v>
      </c>
    </row>
    <row r="184" spans="2:8" s="152" customFormat="1" ht="11.25" customHeight="1" x14ac:dyDescent="0.2">
      <c r="B184" s="176" t="s">
        <v>1741</v>
      </c>
      <c r="C184" s="161">
        <v>3000</v>
      </c>
      <c r="D184" s="155">
        <f t="shared" si="12"/>
        <v>2.5</v>
      </c>
      <c r="E184" s="155">
        <f t="shared" si="13"/>
        <v>7500</v>
      </c>
      <c r="F184" s="181">
        <v>8</v>
      </c>
      <c r="G184" s="155">
        <f t="shared" si="14"/>
        <v>2.5</v>
      </c>
      <c r="H184" s="155">
        <f t="shared" si="15"/>
        <v>20</v>
      </c>
    </row>
    <row r="185" spans="2:8" s="152" customFormat="1" ht="11.25" customHeight="1" x14ac:dyDescent="0.2">
      <c r="B185" s="176" t="s">
        <v>1742</v>
      </c>
      <c r="C185" s="161">
        <v>300</v>
      </c>
      <c r="D185" s="155">
        <f t="shared" si="12"/>
        <v>0.01</v>
      </c>
      <c r="E185" s="155">
        <f t="shared" si="13"/>
        <v>3</v>
      </c>
      <c r="F185" s="181">
        <v>250</v>
      </c>
      <c r="G185" s="155">
        <f t="shared" si="14"/>
        <v>0.01</v>
      </c>
      <c r="H185" s="155">
        <f t="shared" si="15"/>
        <v>2.5</v>
      </c>
    </row>
    <row r="186" spans="2:8" s="152" customFormat="1" ht="11.25" customHeight="1" x14ac:dyDescent="0.2">
      <c r="B186" s="176" t="s">
        <v>1743</v>
      </c>
      <c r="C186" s="161">
        <v>5000</v>
      </c>
      <c r="D186" s="155">
        <f t="shared" si="12"/>
        <v>0.01</v>
      </c>
      <c r="E186" s="155">
        <f t="shared" si="13"/>
        <v>50</v>
      </c>
      <c r="F186" s="181">
        <v>250</v>
      </c>
      <c r="G186" s="155">
        <f t="shared" si="14"/>
        <v>0.01</v>
      </c>
      <c r="H186" s="155">
        <f t="shared" si="15"/>
        <v>2.5</v>
      </c>
    </row>
    <row r="187" spans="2:8" s="152" customFormat="1" ht="11.25" customHeight="1" x14ac:dyDescent="0.2">
      <c r="B187" s="176" t="s">
        <v>1703</v>
      </c>
      <c r="C187" s="161"/>
      <c r="D187" s="155">
        <f t="shared" si="12"/>
        <v>6.0000000000000001E-3</v>
      </c>
      <c r="E187" s="155"/>
      <c r="F187" s="181">
        <v>1000</v>
      </c>
      <c r="G187" s="155">
        <f t="shared" si="14"/>
        <v>6.0000000000000001E-3</v>
      </c>
      <c r="H187" s="155">
        <f t="shared" si="15"/>
        <v>6</v>
      </c>
    </row>
    <row r="188" spans="2:8" s="152" customFormat="1" ht="11.25" customHeight="1" x14ac:dyDescent="0.2">
      <c r="B188" s="176" t="s">
        <v>1744</v>
      </c>
      <c r="C188" s="161"/>
      <c r="D188" s="155">
        <f t="shared" si="12"/>
        <v>1.325E-2</v>
      </c>
      <c r="E188" s="155"/>
      <c r="F188" s="181">
        <v>3000</v>
      </c>
      <c r="G188" s="155">
        <f t="shared" si="14"/>
        <v>1.325E-2</v>
      </c>
      <c r="H188" s="155">
        <f t="shared" si="15"/>
        <v>39.75</v>
      </c>
    </row>
    <row r="189" spans="2:8" s="152" customFormat="1" ht="11.25" customHeight="1" x14ac:dyDescent="0.2">
      <c r="B189" s="176" t="s">
        <v>1694</v>
      </c>
      <c r="C189" s="161"/>
      <c r="D189" s="155">
        <f t="shared" si="12"/>
        <v>1.4999999999999999E-2</v>
      </c>
      <c r="E189" s="155"/>
      <c r="F189" s="181">
        <v>2000</v>
      </c>
      <c r="G189" s="155">
        <f t="shared" si="14"/>
        <v>1.4999999999999999E-2</v>
      </c>
      <c r="H189" s="155">
        <f t="shared" si="15"/>
        <v>30</v>
      </c>
    </row>
    <row r="190" spans="2:8" s="152" customFormat="1" ht="11.25" customHeight="1" x14ac:dyDescent="0.2">
      <c r="B190" s="176" t="s">
        <v>1702</v>
      </c>
      <c r="C190" s="161"/>
      <c r="D190" s="155">
        <f t="shared" si="12"/>
        <v>1.4999999999999999E-2</v>
      </c>
      <c r="E190" s="155"/>
      <c r="F190" s="181">
        <v>2000</v>
      </c>
      <c r="G190" s="155">
        <f t="shared" si="14"/>
        <v>1.4999999999999999E-2</v>
      </c>
      <c r="H190" s="155">
        <f t="shared" si="15"/>
        <v>30</v>
      </c>
    </row>
    <row r="191" spans="2:8" s="152" customFormat="1" ht="11.25" customHeight="1" x14ac:dyDescent="0.2">
      <c r="B191" s="176" t="s">
        <v>1745</v>
      </c>
      <c r="C191" s="161"/>
      <c r="D191" s="155">
        <f t="shared" si="12"/>
        <v>0.01</v>
      </c>
      <c r="E191" s="155"/>
      <c r="F191" s="181">
        <v>3000</v>
      </c>
      <c r="G191" s="155">
        <f t="shared" si="14"/>
        <v>0.01</v>
      </c>
      <c r="H191" s="155">
        <f t="shared" si="15"/>
        <v>30</v>
      </c>
    </row>
    <row r="192" spans="2:8" s="152" customFormat="1" x14ac:dyDescent="0.2">
      <c r="B192" s="176" t="s">
        <v>1746</v>
      </c>
      <c r="C192" s="161"/>
      <c r="D192" s="155">
        <f t="shared" si="12"/>
        <v>8.0000000000000002E-3</v>
      </c>
      <c r="E192" s="155"/>
      <c r="F192" s="181">
        <v>3000</v>
      </c>
      <c r="G192" s="155">
        <f t="shared" si="14"/>
        <v>8.0000000000000002E-3</v>
      </c>
      <c r="H192" s="155">
        <f t="shared" si="15"/>
        <v>24</v>
      </c>
    </row>
    <row r="193" spans="2:8" s="152" customFormat="1" ht="11.25" customHeight="1" x14ac:dyDescent="0.2">
      <c r="B193" s="176" t="s">
        <v>1701</v>
      </c>
      <c r="C193" s="161"/>
      <c r="D193" s="155">
        <f t="shared" si="12"/>
        <v>0.125</v>
      </c>
      <c r="E193" s="155"/>
      <c r="F193" s="181">
        <v>500</v>
      </c>
      <c r="G193" s="155">
        <f t="shared" si="14"/>
        <v>0.125</v>
      </c>
      <c r="H193" s="155">
        <f t="shared" si="15"/>
        <v>62.5</v>
      </c>
    </row>
    <row r="194" spans="2:8" s="152" customFormat="1" ht="11.25" customHeight="1" x14ac:dyDescent="0.2">
      <c r="B194" s="176" t="s">
        <v>1747</v>
      </c>
      <c r="C194" s="161"/>
      <c r="D194" s="155">
        <f t="shared" si="12"/>
        <v>1.4999999999999999E-2</v>
      </c>
      <c r="E194" s="155"/>
      <c r="F194" s="181">
        <v>250</v>
      </c>
      <c r="G194" s="155">
        <f t="shared" si="14"/>
        <v>1.4999999999999999E-2</v>
      </c>
      <c r="H194" s="155">
        <f t="shared" si="15"/>
        <v>3.75</v>
      </c>
    </row>
    <row r="195" spans="2:8" s="152" customFormat="1" ht="11.25" customHeight="1" x14ac:dyDescent="0.2">
      <c r="B195" s="176" t="s">
        <v>1748</v>
      </c>
      <c r="C195" s="156"/>
      <c r="D195" s="155">
        <f t="shared" si="12"/>
        <v>0.01</v>
      </c>
      <c r="E195" s="155"/>
      <c r="F195" s="181">
        <v>250</v>
      </c>
      <c r="G195" s="155">
        <f t="shared" si="14"/>
        <v>0.01</v>
      </c>
      <c r="H195" s="155">
        <f t="shared" si="15"/>
        <v>2.5</v>
      </c>
    </row>
    <row r="196" spans="2:8" s="152" customFormat="1" ht="11.25" customHeight="1" x14ac:dyDescent="0.2">
      <c r="B196" s="176" t="s">
        <v>1706</v>
      </c>
      <c r="C196" s="156"/>
      <c r="D196" s="155">
        <f t="shared" si="12"/>
        <v>1.4999999999999999E-2</v>
      </c>
      <c r="E196" s="155"/>
      <c r="F196" s="181">
        <v>250</v>
      </c>
      <c r="G196" s="155">
        <f t="shared" si="14"/>
        <v>1.4999999999999999E-2</v>
      </c>
      <c r="H196" s="155">
        <f t="shared" si="15"/>
        <v>3.75</v>
      </c>
    </row>
    <row r="197" spans="2:8" s="152" customFormat="1" ht="11.25" customHeight="1" x14ac:dyDescent="0.2">
      <c r="B197" s="176" t="s">
        <v>1749</v>
      </c>
      <c r="C197" s="156"/>
      <c r="D197" s="155">
        <f t="shared" si="12"/>
        <v>1.4999999999999999E-2</v>
      </c>
      <c r="E197" s="155"/>
      <c r="F197" s="181">
        <v>250</v>
      </c>
      <c r="G197" s="155">
        <f t="shared" si="14"/>
        <v>1.4999999999999999E-2</v>
      </c>
      <c r="H197" s="155">
        <f t="shared" si="15"/>
        <v>3.75</v>
      </c>
    </row>
    <row r="198" spans="2:8" s="152" customFormat="1" ht="11.25" customHeight="1" x14ac:dyDescent="0.2">
      <c r="B198" s="176" t="s">
        <v>1750</v>
      </c>
      <c r="C198" s="156"/>
      <c r="D198" s="155">
        <f t="shared" si="12"/>
        <v>1.4999999999999999E-2</v>
      </c>
      <c r="E198" s="155"/>
      <c r="F198" s="181">
        <v>250</v>
      </c>
      <c r="G198" s="155">
        <f t="shared" si="14"/>
        <v>1.4999999999999999E-2</v>
      </c>
      <c r="H198" s="155">
        <f t="shared" si="15"/>
        <v>3.75</v>
      </c>
    </row>
    <row r="199" spans="2:8" s="152" customFormat="1" ht="11.25" customHeight="1" x14ac:dyDescent="0.2">
      <c r="B199" s="176" t="s">
        <v>1698</v>
      </c>
      <c r="C199" s="156"/>
      <c r="D199" s="155">
        <f t="shared" si="12"/>
        <v>1.4E-2</v>
      </c>
      <c r="E199" s="155"/>
      <c r="F199" s="181">
        <v>250</v>
      </c>
      <c r="G199" s="155">
        <f t="shared" si="14"/>
        <v>1.4E-2</v>
      </c>
      <c r="H199" s="155">
        <f t="shared" si="15"/>
        <v>3.5</v>
      </c>
    </row>
    <row r="200" spans="2:8" ht="11.25" customHeight="1" x14ac:dyDescent="0.2">
      <c r="B200" s="176" t="s">
        <v>1704</v>
      </c>
      <c r="C200" s="156"/>
      <c r="D200" s="155">
        <f t="shared" si="12"/>
        <v>8.0000000000000002E-3</v>
      </c>
      <c r="E200" s="155"/>
      <c r="F200" s="181">
        <v>250</v>
      </c>
      <c r="G200" s="155">
        <f t="shared" si="14"/>
        <v>8.0000000000000002E-3</v>
      </c>
      <c r="H200" s="155">
        <f t="shared" si="15"/>
        <v>2</v>
      </c>
    </row>
    <row r="201" spans="2:8" ht="11.25" customHeight="1" x14ac:dyDescent="0.2">
      <c r="B201" s="176"/>
      <c r="C201" s="156"/>
      <c r="D201" s="155" t="str">
        <f t="shared" si="12"/>
        <v/>
      </c>
      <c r="E201" s="155"/>
      <c r="F201" s="181"/>
      <c r="G201" s="155" t="str">
        <f t="shared" si="14"/>
        <v/>
      </c>
      <c r="H201" s="155" t="str">
        <f t="shared" si="15"/>
        <v/>
      </c>
    </row>
    <row r="202" spans="2:8" ht="11.25" customHeight="1" x14ac:dyDescent="0.2">
      <c r="B202" s="176"/>
      <c r="C202" s="156"/>
      <c r="D202" s="155" t="str">
        <f t="shared" si="12"/>
        <v/>
      </c>
      <c r="E202" s="155" t="str">
        <f t="shared" ref="E202:E220" si="16">IF(C202=0,"",C202*D202)</f>
        <v/>
      </c>
      <c r="F202" s="181"/>
      <c r="G202" s="155" t="str">
        <f t="shared" si="14"/>
        <v/>
      </c>
      <c r="H202" s="155" t="str">
        <f t="shared" si="15"/>
        <v/>
      </c>
    </row>
    <row r="203" spans="2:8" ht="11.25" customHeight="1" x14ac:dyDescent="0.2">
      <c r="B203" s="176"/>
      <c r="C203" s="156"/>
      <c r="D203" s="155" t="str">
        <f t="shared" si="12"/>
        <v/>
      </c>
      <c r="E203" s="155" t="str">
        <f t="shared" si="16"/>
        <v/>
      </c>
      <c r="F203" s="181"/>
      <c r="G203" s="155" t="str">
        <f t="shared" si="14"/>
        <v/>
      </c>
      <c r="H203" s="155" t="str">
        <f t="shared" si="15"/>
        <v/>
      </c>
    </row>
    <row r="204" spans="2:8" ht="11.25" customHeight="1" x14ac:dyDescent="0.2">
      <c r="B204" s="176"/>
      <c r="C204" s="156"/>
      <c r="D204" s="155" t="str">
        <f t="shared" si="12"/>
        <v/>
      </c>
      <c r="E204" s="155" t="str">
        <f t="shared" si="16"/>
        <v/>
      </c>
      <c r="F204" s="181"/>
      <c r="G204" s="155" t="str">
        <f t="shared" si="14"/>
        <v/>
      </c>
      <c r="H204" s="155" t="str">
        <f t="shared" si="15"/>
        <v/>
      </c>
    </row>
    <row r="205" spans="2:8" ht="11.25" customHeight="1" x14ac:dyDescent="0.2">
      <c r="B205" s="176"/>
      <c r="C205" s="156"/>
      <c r="D205" s="155" t="str">
        <f t="shared" si="12"/>
        <v/>
      </c>
      <c r="E205" s="155" t="str">
        <f t="shared" si="16"/>
        <v/>
      </c>
      <c r="F205" s="181"/>
      <c r="G205" s="155" t="str">
        <f t="shared" si="14"/>
        <v/>
      </c>
      <c r="H205" s="155" t="str">
        <f t="shared" si="15"/>
        <v/>
      </c>
    </row>
    <row r="206" spans="2:8" ht="11.25" customHeight="1" x14ac:dyDescent="0.2">
      <c r="B206" s="176"/>
      <c r="C206" s="156"/>
      <c r="D206" s="155" t="str">
        <f t="shared" si="12"/>
        <v/>
      </c>
      <c r="E206" s="155" t="str">
        <f t="shared" si="16"/>
        <v/>
      </c>
      <c r="F206" s="181"/>
      <c r="G206" s="155" t="str">
        <f t="shared" si="14"/>
        <v/>
      </c>
      <c r="H206" s="155" t="str">
        <f t="shared" si="15"/>
        <v/>
      </c>
    </row>
    <row r="207" spans="2:8" ht="11.25" customHeight="1" x14ac:dyDescent="0.2">
      <c r="B207" s="176"/>
      <c r="C207" s="156"/>
      <c r="D207" s="155" t="str">
        <f t="shared" si="12"/>
        <v/>
      </c>
      <c r="E207" s="155" t="str">
        <f t="shared" si="16"/>
        <v/>
      </c>
      <c r="F207" s="181"/>
      <c r="G207" s="155" t="str">
        <f t="shared" si="14"/>
        <v/>
      </c>
      <c r="H207" s="155" t="str">
        <f t="shared" si="15"/>
        <v/>
      </c>
    </row>
    <row r="208" spans="2:8" ht="11.25" customHeight="1" x14ac:dyDescent="0.2">
      <c r="B208" s="176"/>
      <c r="C208" s="156"/>
      <c r="D208" s="155" t="str">
        <f t="shared" si="12"/>
        <v/>
      </c>
      <c r="E208" s="155" t="str">
        <f t="shared" si="16"/>
        <v/>
      </c>
      <c r="F208" s="181"/>
      <c r="G208" s="155" t="str">
        <f t="shared" si="14"/>
        <v/>
      </c>
      <c r="H208" s="155" t="str">
        <f t="shared" si="15"/>
        <v/>
      </c>
    </row>
    <row r="209" spans="1:8" ht="11.25" customHeight="1" x14ac:dyDescent="0.2">
      <c r="B209" s="176"/>
      <c r="C209" s="156"/>
      <c r="D209" s="155" t="str">
        <f t="shared" si="12"/>
        <v/>
      </c>
      <c r="E209" s="155" t="str">
        <f t="shared" si="16"/>
        <v/>
      </c>
      <c r="F209" s="181"/>
      <c r="G209" s="155" t="str">
        <f t="shared" si="14"/>
        <v/>
      </c>
      <c r="H209" s="155" t="str">
        <f t="shared" si="15"/>
        <v/>
      </c>
    </row>
    <row r="210" spans="1:8" ht="11.25" customHeight="1" x14ac:dyDescent="0.2">
      <c r="B210" s="176"/>
      <c r="C210" s="156"/>
      <c r="D210" s="155" t="str">
        <f t="shared" si="12"/>
        <v/>
      </c>
      <c r="E210" s="155" t="str">
        <f t="shared" si="16"/>
        <v/>
      </c>
      <c r="F210" s="181"/>
      <c r="G210" s="155" t="str">
        <f t="shared" si="14"/>
        <v/>
      </c>
      <c r="H210" s="155" t="str">
        <f t="shared" si="15"/>
        <v/>
      </c>
    </row>
    <row r="211" spans="1:8" ht="11.25" customHeight="1" x14ac:dyDescent="0.2">
      <c r="B211" s="176"/>
      <c r="C211" s="156"/>
      <c r="D211" s="155" t="str">
        <f t="shared" si="12"/>
        <v/>
      </c>
      <c r="E211" s="155" t="str">
        <f t="shared" si="16"/>
        <v/>
      </c>
      <c r="F211" s="181"/>
      <c r="G211" s="155" t="str">
        <f t="shared" si="14"/>
        <v/>
      </c>
      <c r="H211" s="155" t="str">
        <f t="shared" si="15"/>
        <v/>
      </c>
    </row>
    <row r="212" spans="1:8" ht="11.25" customHeight="1" x14ac:dyDescent="0.2">
      <c r="B212" s="176"/>
      <c r="C212" s="156"/>
      <c r="D212" s="155" t="str">
        <f t="shared" si="12"/>
        <v/>
      </c>
      <c r="E212" s="155" t="str">
        <f t="shared" si="16"/>
        <v/>
      </c>
      <c r="F212" s="181"/>
      <c r="G212" s="155" t="str">
        <f t="shared" si="14"/>
        <v/>
      </c>
      <c r="H212" s="155" t="str">
        <f t="shared" si="15"/>
        <v/>
      </c>
    </row>
    <row r="213" spans="1:8" ht="11.25" customHeight="1" x14ac:dyDescent="0.2">
      <c r="B213" s="176"/>
      <c r="C213" s="156"/>
      <c r="D213" s="155" t="str">
        <f t="shared" si="12"/>
        <v/>
      </c>
      <c r="E213" s="155" t="str">
        <f t="shared" si="16"/>
        <v/>
      </c>
      <c r="F213" s="181"/>
      <c r="G213" s="155" t="str">
        <f t="shared" si="14"/>
        <v/>
      </c>
      <c r="H213" s="155" t="str">
        <f t="shared" si="15"/>
        <v/>
      </c>
    </row>
    <row r="214" spans="1:8" ht="11.25" customHeight="1" x14ac:dyDescent="0.2">
      <c r="B214" s="176"/>
      <c r="C214" s="156"/>
      <c r="D214" s="155" t="str">
        <f t="shared" si="12"/>
        <v/>
      </c>
      <c r="E214" s="155" t="str">
        <f t="shared" si="16"/>
        <v/>
      </c>
      <c r="F214" s="181"/>
      <c r="G214" s="155" t="str">
        <f t="shared" si="14"/>
        <v/>
      </c>
      <c r="H214" s="155" t="str">
        <f t="shared" si="15"/>
        <v/>
      </c>
    </row>
    <row r="215" spans="1:8" ht="11.25" customHeight="1" x14ac:dyDescent="0.2">
      <c r="B215" s="176"/>
      <c r="C215" s="156"/>
      <c r="D215" s="155" t="str">
        <f t="shared" si="12"/>
        <v/>
      </c>
      <c r="E215" s="155" t="str">
        <f t="shared" si="16"/>
        <v/>
      </c>
      <c r="F215" s="181"/>
      <c r="G215" s="155" t="str">
        <f t="shared" si="14"/>
        <v/>
      </c>
      <c r="H215" s="155" t="str">
        <f t="shared" si="15"/>
        <v/>
      </c>
    </row>
    <row r="216" spans="1:8" ht="11.25" customHeight="1" x14ac:dyDescent="0.2">
      <c r="B216" s="176"/>
      <c r="C216" s="156"/>
      <c r="D216" s="155" t="str">
        <f t="shared" si="12"/>
        <v/>
      </c>
      <c r="E216" s="155" t="str">
        <f t="shared" si="16"/>
        <v/>
      </c>
      <c r="F216" s="181"/>
      <c r="G216" s="155" t="str">
        <f t="shared" si="14"/>
        <v/>
      </c>
      <c r="H216" s="155" t="str">
        <f t="shared" si="15"/>
        <v/>
      </c>
    </row>
    <row r="217" spans="1:8" ht="11.25" customHeight="1" x14ac:dyDescent="0.2">
      <c r="B217" s="176"/>
      <c r="C217" s="156"/>
      <c r="D217" s="155" t="str">
        <f t="shared" si="12"/>
        <v/>
      </c>
      <c r="E217" s="155" t="str">
        <f t="shared" si="16"/>
        <v/>
      </c>
      <c r="F217" s="181"/>
      <c r="G217" s="155" t="str">
        <f t="shared" si="14"/>
        <v/>
      </c>
      <c r="H217" s="155" t="str">
        <f t="shared" si="15"/>
        <v/>
      </c>
    </row>
    <row r="218" spans="1:8" ht="11.25" customHeight="1" x14ac:dyDescent="0.2">
      <c r="B218" s="176"/>
      <c r="C218" s="156"/>
      <c r="D218" s="155" t="str">
        <f t="shared" si="12"/>
        <v/>
      </c>
      <c r="E218" s="155" t="str">
        <f t="shared" si="16"/>
        <v/>
      </c>
      <c r="F218" s="181"/>
      <c r="G218" s="155" t="str">
        <f t="shared" si="14"/>
        <v/>
      </c>
      <c r="H218" s="155" t="str">
        <f t="shared" si="15"/>
        <v/>
      </c>
    </row>
    <row r="219" spans="1:8" ht="11.25" customHeight="1" x14ac:dyDescent="0.2">
      <c r="B219" s="176"/>
      <c r="C219" s="156"/>
      <c r="D219" s="155" t="str">
        <f t="shared" si="12"/>
        <v/>
      </c>
      <c r="E219" s="155" t="str">
        <f t="shared" si="16"/>
        <v/>
      </c>
      <c r="F219" s="181"/>
      <c r="G219" s="155" t="str">
        <f t="shared" si="14"/>
        <v/>
      </c>
      <c r="H219" s="155" t="str">
        <f t="shared" si="15"/>
        <v/>
      </c>
    </row>
    <row r="220" spans="1:8" ht="12" customHeight="1" thickBot="1" x14ac:dyDescent="0.25">
      <c r="B220" s="284"/>
      <c r="C220" s="285"/>
      <c r="D220" s="155" t="str">
        <f t="shared" si="12"/>
        <v/>
      </c>
      <c r="E220" s="309" t="str">
        <f t="shared" si="16"/>
        <v/>
      </c>
      <c r="F220" s="286"/>
      <c r="G220" s="155" t="str">
        <f t="shared" si="14"/>
        <v/>
      </c>
      <c r="H220" s="155" t="str">
        <f t="shared" si="15"/>
        <v/>
      </c>
    </row>
    <row r="221" spans="1:8" ht="12.75" customHeight="1" thickBot="1" x14ac:dyDescent="0.25">
      <c r="A221" s="159"/>
      <c r="B221" s="287" t="s">
        <v>831</v>
      </c>
      <c r="C221" s="288"/>
      <c r="D221" s="311"/>
      <c r="E221" s="292">
        <f>SUM(E182:E220)</f>
        <v>7553</v>
      </c>
      <c r="F221" s="287" t="s">
        <v>831</v>
      </c>
      <c r="G221" s="288"/>
      <c r="H221" s="292">
        <f>SUM(H182:H220)</f>
        <v>270.25</v>
      </c>
    </row>
    <row r="222" spans="1:8" ht="12.75" customHeight="1" thickBot="1" x14ac:dyDescent="0.25">
      <c r="A222" s="159"/>
      <c r="B222" s="287" t="s">
        <v>832</v>
      </c>
      <c r="C222" s="288"/>
      <c r="D222" s="288"/>
      <c r="E222" s="321">
        <f>E221*10/100</f>
        <v>755.3</v>
      </c>
      <c r="F222" s="312" t="s">
        <v>832</v>
      </c>
      <c r="G222" s="295"/>
      <c r="H222" s="292">
        <f>H221*10/100</f>
        <v>27.024999999999999</v>
      </c>
    </row>
    <row r="223" spans="1:8" ht="12.75" customHeight="1" thickBot="1" x14ac:dyDescent="0.25">
      <c r="A223" s="159"/>
      <c r="B223" s="287" t="s">
        <v>24</v>
      </c>
      <c r="C223" s="288"/>
      <c r="D223" s="288"/>
      <c r="E223" s="155">
        <f>E221+E222</f>
        <v>8308.2999999999993</v>
      </c>
      <c r="F223" s="287" t="s">
        <v>24</v>
      </c>
      <c r="G223" s="295"/>
      <c r="H223" s="292">
        <f>H221+H222</f>
        <v>297.27499999999998</v>
      </c>
    </row>
    <row r="224" spans="1:8" ht="12.75" customHeight="1" thickBot="1" x14ac:dyDescent="0.25">
      <c r="B224" s="291" t="s">
        <v>10</v>
      </c>
      <c r="C224" s="288"/>
      <c r="D224" s="288"/>
      <c r="E224" s="322">
        <v>45</v>
      </c>
      <c r="F224" s="287" t="s">
        <v>10</v>
      </c>
      <c r="G224" s="288"/>
      <c r="H224" s="297">
        <v>28</v>
      </c>
    </row>
    <row r="225" spans="2:8" ht="12.75" customHeight="1" thickBot="1" x14ac:dyDescent="0.25">
      <c r="B225" s="298" t="s">
        <v>1261</v>
      </c>
      <c r="C225" s="288"/>
      <c r="D225" s="288"/>
      <c r="E225" s="323">
        <f>E223/E224</f>
        <v>184.62888888888887</v>
      </c>
      <c r="F225" s="287" t="s">
        <v>1261</v>
      </c>
      <c r="G225" s="288"/>
      <c r="H225" s="292">
        <f>H223/H224</f>
        <v>10.616964285714285</v>
      </c>
    </row>
    <row r="226" spans="2:8" ht="12" customHeight="1" thickBot="1" x14ac:dyDescent="0.25">
      <c r="B226" s="283" t="s">
        <v>48</v>
      </c>
      <c r="C226" s="315" t="s">
        <v>1735</v>
      </c>
      <c r="D226" s="316"/>
      <c r="E226" s="316"/>
      <c r="F226" s="316"/>
      <c r="G226" s="316"/>
      <c r="H226" s="318"/>
    </row>
    <row r="227" spans="2:8" ht="12" customHeight="1" thickBot="1" x14ac:dyDescent="0.25">
      <c r="B227" s="283" t="s">
        <v>15</v>
      </c>
      <c r="C227" s="302" t="s">
        <v>1736</v>
      </c>
      <c r="D227" s="303"/>
      <c r="E227" s="303"/>
      <c r="F227" s="303"/>
      <c r="G227" s="303"/>
      <c r="H227" s="304"/>
    </row>
    <row r="228" spans="2:8" ht="12" customHeight="1" thickBot="1" x14ac:dyDescent="0.25">
      <c r="B228" s="283" t="s">
        <v>16</v>
      </c>
      <c r="C228" s="302" t="s">
        <v>1737</v>
      </c>
      <c r="D228" s="303"/>
      <c r="E228" s="303"/>
      <c r="F228" s="303"/>
      <c r="G228" s="303"/>
      <c r="H228" s="304"/>
    </row>
    <row r="229" spans="2:8" ht="12" customHeight="1" thickBot="1" x14ac:dyDescent="0.25">
      <c r="B229" s="283" t="s">
        <v>17</v>
      </c>
      <c r="C229" s="302" t="s">
        <v>1738</v>
      </c>
      <c r="D229" s="303"/>
      <c r="E229" s="303"/>
      <c r="F229" s="303"/>
      <c r="G229" s="303"/>
      <c r="H229" s="304"/>
    </row>
    <row r="230" spans="2:8" ht="12" customHeight="1" thickBot="1" x14ac:dyDescent="0.25">
      <c r="B230" s="283" t="s">
        <v>18</v>
      </c>
      <c r="C230" s="302" t="s">
        <v>1739</v>
      </c>
      <c r="D230" s="303"/>
      <c r="E230" s="303"/>
      <c r="F230" s="303"/>
      <c r="G230" s="303"/>
      <c r="H230" s="304"/>
    </row>
    <row r="231" spans="2:8" ht="12" customHeight="1" thickBot="1" x14ac:dyDescent="0.25">
      <c r="B231" s="283" t="s">
        <v>49</v>
      </c>
      <c r="C231" s="302" t="s">
        <v>1740</v>
      </c>
      <c r="D231" s="303"/>
      <c r="E231" s="303"/>
      <c r="F231" s="303"/>
      <c r="G231" s="303"/>
      <c r="H231" s="304"/>
    </row>
    <row r="232" spans="2:8" ht="12" customHeight="1" thickBot="1" x14ac:dyDescent="0.25">
      <c r="B232" s="283" t="s">
        <v>51</v>
      </c>
      <c r="C232" s="302"/>
      <c r="D232" s="303"/>
      <c r="E232" s="303"/>
      <c r="F232" s="303"/>
      <c r="G232" s="303"/>
      <c r="H232" s="304"/>
    </row>
    <row r="233" spans="2:8" ht="12" customHeight="1" thickBot="1" x14ac:dyDescent="0.25">
      <c r="B233" s="283" t="s">
        <v>47</v>
      </c>
      <c r="C233" s="302"/>
      <c r="D233" s="303"/>
      <c r="E233" s="303"/>
      <c r="F233" s="303"/>
      <c r="G233" s="303"/>
      <c r="H233" s="304"/>
    </row>
    <row r="234" spans="2:8" ht="12" customHeight="1" thickBot="1" x14ac:dyDescent="0.25">
      <c r="B234" s="283" t="s">
        <v>50</v>
      </c>
      <c r="C234" s="305"/>
      <c r="D234" s="306"/>
      <c r="E234" s="306"/>
      <c r="F234" s="306"/>
      <c r="G234" s="306"/>
      <c r="H234" s="307"/>
    </row>
    <row r="235" spans="2:8" ht="12" customHeight="1" thickBot="1" x14ac:dyDescent="0.25">
      <c r="B235" s="152"/>
      <c r="C235" s="319"/>
      <c r="D235" s="319"/>
      <c r="E235" s="319"/>
      <c r="F235" s="319"/>
      <c r="G235" s="319"/>
      <c r="H235" s="319"/>
    </row>
    <row r="236" spans="2:8" ht="21.75" customHeight="1" thickBot="1" x14ac:dyDescent="0.4">
      <c r="B236" s="277" t="s">
        <v>1894</v>
      </c>
      <c r="C236" s="278"/>
      <c r="D236" s="278"/>
      <c r="E236" s="278"/>
      <c r="F236" s="278"/>
      <c r="G236" s="278"/>
      <c r="H236" s="279"/>
    </row>
    <row r="237" spans="2:8" ht="12" customHeight="1" thickBot="1" x14ac:dyDescent="0.25">
      <c r="B237" s="280" t="s">
        <v>1891</v>
      </c>
      <c r="C237" s="281"/>
      <c r="D237" s="281"/>
      <c r="E237" s="282"/>
      <c r="F237" s="280" t="s">
        <v>1890</v>
      </c>
      <c r="G237" s="281"/>
      <c r="H237" s="282"/>
    </row>
    <row r="238" spans="2:8" ht="12" customHeight="1" thickBot="1" x14ac:dyDescent="0.25">
      <c r="B238" s="283" t="s">
        <v>1896</v>
      </c>
      <c r="C238" s="283" t="s">
        <v>20</v>
      </c>
      <c r="D238" s="283" t="s">
        <v>21</v>
      </c>
      <c r="E238" s="283" t="s">
        <v>22</v>
      </c>
      <c r="F238" s="283" t="s">
        <v>20</v>
      </c>
      <c r="G238" s="283" t="s">
        <v>21</v>
      </c>
      <c r="H238" s="283" t="s">
        <v>22</v>
      </c>
    </row>
    <row r="239" spans="2:8" s="152" customFormat="1" ht="11.25" customHeight="1" x14ac:dyDescent="0.2">
      <c r="B239" s="176" t="s">
        <v>1681</v>
      </c>
      <c r="C239" s="153"/>
      <c r="D239" s="154">
        <f t="shared" ref="D239:D271" si="17">IF(B239="","",VLOOKUP(B239,INVENTARIO,2))</f>
        <v>7.2</v>
      </c>
      <c r="E239" s="154" t="str">
        <f>IF(C239=0,"",C239*D239)</f>
        <v/>
      </c>
      <c r="F239" s="185">
        <v>8</v>
      </c>
      <c r="G239" s="154">
        <f>D239</f>
        <v>7.2</v>
      </c>
      <c r="H239" s="155">
        <f>IF(F239=0,"",F239*G239)</f>
        <v>57.6</v>
      </c>
    </row>
    <row r="240" spans="2:8" s="152" customFormat="1" ht="11.25" customHeight="1" x14ac:dyDescent="0.2">
      <c r="B240" s="176" t="s">
        <v>1752</v>
      </c>
      <c r="C240" s="156"/>
      <c r="D240" s="155">
        <f t="shared" si="17"/>
        <v>6.7033333333333331</v>
      </c>
      <c r="E240" s="155" t="str">
        <f t="shared" ref="E240:E271" si="18">IF(C240=0,"",C240*D240)</f>
        <v/>
      </c>
      <c r="F240" s="181">
        <v>12</v>
      </c>
      <c r="G240" s="155">
        <f t="shared" ref="G240:G271" si="19">D240</f>
        <v>6.7033333333333331</v>
      </c>
      <c r="H240" s="155">
        <f t="shared" ref="H240:H271" si="20">IF(F240=0,"",F240*G240)</f>
        <v>80.44</v>
      </c>
    </row>
    <row r="241" spans="2:8" s="152" customFormat="1" ht="11.25" customHeight="1" x14ac:dyDescent="0.2">
      <c r="B241" s="176" t="s">
        <v>1753</v>
      </c>
      <c r="C241" s="156"/>
      <c r="D241" s="155">
        <f t="shared" si="17"/>
        <v>4.55</v>
      </c>
      <c r="E241" s="155" t="str">
        <f t="shared" si="18"/>
        <v/>
      </c>
      <c r="F241" s="181">
        <f>5*24</f>
        <v>120</v>
      </c>
      <c r="G241" s="155">
        <f t="shared" si="19"/>
        <v>4.55</v>
      </c>
      <c r="H241" s="155">
        <f t="shared" si="20"/>
        <v>546</v>
      </c>
    </row>
    <row r="242" spans="2:8" s="152" customFormat="1" ht="11.25" customHeight="1" x14ac:dyDescent="0.2">
      <c r="B242" s="176" t="s">
        <v>1756</v>
      </c>
      <c r="C242" s="156"/>
      <c r="D242" s="155">
        <f t="shared" si="17"/>
        <v>22.95</v>
      </c>
      <c r="E242" s="155" t="str">
        <f t="shared" si="18"/>
        <v/>
      </c>
      <c r="F242" s="181">
        <v>3</v>
      </c>
      <c r="G242" s="155">
        <f t="shared" si="19"/>
        <v>22.95</v>
      </c>
      <c r="H242" s="155">
        <f t="shared" si="20"/>
        <v>68.849999999999994</v>
      </c>
    </row>
    <row r="243" spans="2:8" s="152" customFormat="1" ht="11.25" customHeight="1" x14ac:dyDescent="0.2">
      <c r="B243" s="176" t="s">
        <v>1757</v>
      </c>
      <c r="C243" s="156"/>
      <c r="D243" s="155">
        <f t="shared" si="17"/>
        <v>23.1</v>
      </c>
      <c r="E243" s="155" t="str">
        <f t="shared" si="18"/>
        <v/>
      </c>
      <c r="F243" s="181">
        <v>1</v>
      </c>
      <c r="G243" s="155">
        <f t="shared" si="19"/>
        <v>23.1</v>
      </c>
      <c r="H243" s="155">
        <f t="shared" si="20"/>
        <v>23.1</v>
      </c>
    </row>
    <row r="244" spans="2:8" s="152" customFormat="1" ht="11.25" customHeight="1" x14ac:dyDescent="0.2">
      <c r="B244" s="176" t="s">
        <v>1758</v>
      </c>
      <c r="C244" s="156"/>
      <c r="D244" s="155">
        <f t="shared" si="17"/>
        <v>17.190000000000001</v>
      </c>
      <c r="E244" s="155" t="str">
        <f t="shared" si="18"/>
        <v/>
      </c>
      <c r="F244" s="181">
        <v>1</v>
      </c>
      <c r="G244" s="155">
        <f t="shared" si="19"/>
        <v>17.190000000000001</v>
      </c>
      <c r="H244" s="155">
        <f t="shared" si="20"/>
        <v>17.190000000000001</v>
      </c>
    </row>
    <row r="245" spans="2:8" s="152" customFormat="1" ht="11.25" customHeight="1" x14ac:dyDescent="0.2">
      <c r="B245" s="176" t="s">
        <v>1855</v>
      </c>
      <c r="C245" s="156"/>
      <c r="D245" s="155">
        <f t="shared" si="17"/>
        <v>13</v>
      </c>
      <c r="E245" s="155" t="str">
        <f t="shared" si="18"/>
        <v/>
      </c>
      <c r="F245" s="181">
        <v>1</v>
      </c>
      <c r="G245" s="155">
        <f t="shared" si="19"/>
        <v>13</v>
      </c>
      <c r="H245" s="155">
        <f t="shared" si="20"/>
        <v>13</v>
      </c>
    </row>
    <row r="246" spans="2:8" s="152" customFormat="1" x14ac:dyDescent="0.2">
      <c r="B246" s="176" t="s">
        <v>1759</v>
      </c>
      <c r="C246" s="156"/>
      <c r="D246" s="155">
        <f t="shared" si="17"/>
        <v>10.72</v>
      </c>
      <c r="E246" s="155" t="str">
        <f t="shared" si="18"/>
        <v/>
      </c>
      <c r="F246" s="181">
        <v>2</v>
      </c>
      <c r="G246" s="155">
        <f t="shared" si="19"/>
        <v>10.72</v>
      </c>
      <c r="H246" s="155">
        <f t="shared" si="20"/>
        <v>21.44</v>
      </c>
    </row>
    <row r="247" spans="2:8" s="152" customFormat="1" ht="11.25" customHeight="1" x14ac:dyDescent="0.2">
      <c r="B247" s="176" t="s">
        <v>1760</v>
      </c>
      <c r="C247" s="156"/>
      <c r="D247" s="155">
        <f t="shared" si="17"/>
        <v>10.73</v>
      </c>
      <c r="E247" s="155" t="str">
        <f t="shared" si="18"/>
        <v/>
      </c>
      <c r="F247" s="181">
        <v>2</v>
      </c>
      <c r="G247" s="155">
        <f t="shared" si="19"/>
        <v>10.73</v>
      </c>
      <c r="H247" s="155">
        <f t="shared" si="20"/>
        <v>21.46</v>
      </c>
    </row>
    <row r="248" spans="2:8" s="152" customFormat="1" ht="11.25" customHeight="1" x14ac:dyDescent="0.2">
      <c r="B248" s="176" t="s">
        <v>1761</v>
      </c>
      <c r="C248" s="156"/>
      <c r="D248" s="155">
        <f t="shared" si="17"/>
        <v>8.7899999999999991</v>
      </c>
      <c r="E248" s="155" t="str">
        <f t="shared" si="18"/>
        <v/>
      </c>
      <c r="F248" s="181">
        <v>2</v>
      </c>
      <c r="G248" s="155">
        <f t="shared" si="19"/>
        <v>8.7899999999999991</v>
      </c>
      <c r="H248" s="155">
        <f t="shared" si="20"/>
        <v>17.579999999999998</v>
      </c>
    </row>
    <row r="249" spans="2:8" s="152" customFormat="1" ht="11.25" customHeight="1" x14ac:dyDescent="0.2">
      <c r="B249" s="176" t="s">
        <v>1762</v>
      </c>
      <c r="C249" s="156"/>
      <c r="D249" s="155">
        <f t="shared" si="17"/>
        <v>7.66</v>
      </c>
      <c r="E249" s="155" t="str">
        <f t="shared" si="18"/>
        <v/>
      </c>
      <c r="F249" s="181">
        <v>2</v>
      </c>
      <c r="G249" s="155">
        <f t="shared" si="19"/>
        <v>7.66</v>
      </c>
      <c r="H249" s="155">
        <f t="shared" si="20"/>
        <v>15.32</v>
      </c>
    </row>
    <row r="250" spans="2:8" s="152" customFormat="1" ht="11.25" customHeight="1" x14ac:dyDescent="0.2">
      <c r="B250" s="176" t="s">
        <v>1763</v>
      </c>
      <c r="C250" s="156"/>
      <c r="D250" s="155">
        <f t="shared" si="17"/>
        <v>1.7770000000000001E-2</v>
      </c>
      <c r="E250" s="155" t="str">
        <f t="shared" si="18"/>
        <v/>
      </c>
      <c r="F250" s="181">
        <v>6000</v>
      </c>
      <c r="G250" s="155">
        <f t="shared" si="19"/>
        <v>1.7770000000000001E-2</v>
      </c>
      <c r="H250" s="155">
        <f t="shared" si="20"/>
        <v>106.62</v>
      </c>
    </row>
    <row r="251" spans="2:8" s="152" customFormat="1" ht="11.25" customHeight="1" x14ac:dyDescent="0.2">
      <c r="B251" s="176"/>
      <c r="C251" s="156"/>
      <c r="D251" s="155" t="str">
        <f t="shared" si="17"/>
        <v/>
      </c>
      <c r="E251" s="155" t="str">
        <f t="shared" si="18"/>
        <v/>
      </c>
      <c r="F251" s="181"/>
      <c r="G251" s="155" t="str">
        <f t="shared" si="19"/>
        <v/>
      </c>
      <c r="H251" s="155" t="str">
        <f t="shared" si="20"/>
        <v/>
      </c>
    </row>
    <row r="252" spans="2:8" s="152" customFormat="1" ht="11.25" customHeight="1" x14ac:dyDescent="0.2">
      <c r="B252" s="176"/>
      <c r="C252" s="156"/>
      <c r="D252" s="155" t="str">
        <f t="shared" si="17"/>
        <v/>
      </c>
      <c r="E252" s="155" t="str">
        <f t="shared" si="18"/>
        <v/>
      </c>
      <c r="F252" s="181"/>
      <c r="G252" s="155" t="str">
        <f t="shared" si="19"/>
        <v/>
      </c>
      <c r="H252" s="155" t="str">
        <f t="shared" si="20"/>
        <v/>
      </c>
    </row>
    <row r="253" spans="2:8" s="152" customFormat="1" ht="11.25" customHeight="1" x14ac:dyDescent="0.2">
      <c r="B253" s="176"/>
      <c r="C253" s="156"/>
      <c r="D253" s="155" t="str">
        <f t="shared" si="17"/>
        <v/>
      </c>
      <c r="E253" s="155" t="str">
        <f t="shared" si="18"/>
        <v/>
      </c>
      <c r="F253" s="181"/>
      <c r="G253" s="155" t="str">
        <f t="shared" si="19"/>
        <v/>
      </c>
      <c r="H253" s="155" t="str">
        <f t="shared" si="20"/>
        <v/>
      </c>
    </row>
    <row r="254" spans="2:8" s="152" customFormat="1" ht="11.25" customHeight="1" x14ac:dyDescent="0.2">
      <c r="B254" s="176"/>
      <c r="C254" s="156"/>
      <c r="D254" s="155" t="str">
        <f t="shared" si="17"/>
        <v/>
      </c>
      <c r="E254" s="155" t="str">
        <f t="shared" si="18"/>
        <v/>
      </c>
      <c r="F254" s="181"/>
      <c r="G254" s="155" t="str">
        <f t="shared" si="19"/>
        <v/>
      </c>
      <c r="H254" s="155" t="str">
        <f t="shared" si="20"/>
        <v/>
      </c>
    </row>
    <row r="255" spans="2:8" s="152" customFormat="1" ht="11.25" customHeight="1" x14ac:dyDescent="0.2">
      <c r="B255" s="176"/>
      <c r="C255" s="156"/>
      <c r="D255" s="155" t="str">
        <f t="shared" si="17"/>
        <v/>
      </c>
      <c r="E255" s="155" t="str">
        <f t="shared" si="18"/>
        <v/>
      </c>
      <c r="F255" s="181"/>
      <c r="G255" s="155" t="str">
        <f t="shared" si="19"/>
        <v/>
      </c>
      <c r="H255" s="155" t="str">
        <f t="shared" si="20"/>
        <v/>
      </c>
    </row>
    <row r="256" spans="2:8" s="152" customFormat="1" ht="11.25" customHeight="1" x14ac:dyDescent="0.2">
      <c r="B256" s="176"/>
      <c r="C256" s="156"/>
      <c r="D256" s="155" t="str">
        <f t="shared" si="17"/>
        <v/>
      </c>
      <c r="E256" s="155" t="str">
        <f t="shared" si="18"/>
        <v/>
      </c>
      <c r="F256" s="181"/>
      <c r="G256" s="155" t="str">
        <f t="shared" si="19"/>
        <v/>
      </c>
      <c r="H256" s="155" t="str">
        <f t="shared" si="20"/>
        <v/>
      </c>
    </row>
    <row r="257" spans="1:8" s="152" customFormat="1" ht="11.25" customHeight="1" x14ac:dyDescent="0.2">
      <c r="B257" s="176"/>
      <c r="C257" s="156"/>
      <c r="D257" s="155" t="str">
        <f t="shared" si="17"/>
        <v/>
      </c>
      <c r="E257" s="155" t="str">
        <f t="shared" si="18"/>
        <v/>
      </c>
      <c r="F257" s="181"/>
      <c r="G257" s="155" t="str">
        <f t="shared" si="19"/>
        <v/>
      </c>
      <c r="H257" s="155" t="str">
        <f t="shared" si="20"/>
        <v/>
      </c>
    </row>
    <row r="258" spans="1:8" s="152" customFormat="1" ht="11.25" customHeight="1" x14ac:dyDescent="0.2">
      <c r="B258" s="176"/>
      <c r="C258" s="156"/>
      <c r="D258" s="155" t="str">
        <f t="shared" si="17"/>
        <v/>
      </c>
      <c r="E258" s="155" t="str">
        <f t="shared" si="18"/>
        <v/>
      </c>
      <c r="F258" s="181"/>
      <c r="G258" s="155" t="str">
        <f t="shared" si="19"/>
        <v/>
      </c>
      <c r="H258" s="155" t="str">
        <f t="shared" si="20"/>
        <v/>
      </c>
    </row>
    <row r="259" spans="1:8" s="152" customFormat="1" ht="11.25" customHeight="1" x14ac:dyDescent="0.2">
      <c r="B259" s="176"/>
      <c r="C259" s="156"/>
      <c r="D259" s="155" t="str">
        <f t="shared" si="17"/>
        <v/>
      </c>
      <c r="E259" s="155" t="str">
        <f t="shared" si="18"/>
        <v/>
      </c>
      <c r="F259" s="181"/>
      <c r="G259" s="155" t="str">
        <f t="shared" si="19"/>
        <v/>
      </c>
      <c r="H259" s="155" t="str">
        <f t="shared" si="20"/>
        <v/>
      </c>
    </row>
    <row r="260" spans="1:8" s="152" customFormat="1" ht="11.25" customHeight="1" x14ac:dyDescent="0.2">
      <c r="B260" s="176"/>
      <c r="C260" s="156"/>
      <c r="D260" s="155" t="str">
        <f t="shared" si="17"/>
        <v/>
      </c>
      <c r="E260" s="155" t="str">
        <f t="shared" si="18"/>
        <v/>
      </c>
      <c r="F260" s="181"/>
      <c r="G260" s="155" t="str">
        <f t="shared" si="19"/>
        <v/>
      </c>
      <c r="H260" s="155" t="str">
        <f t="shared" si="20"/>
        <v/>
      </c>
    </row>
    <row r="261" spans="1:8" s="152" customFormat="1" ht="11.25" customHeight="1" x14ac:dyDescent="0.2">
      <c r="B261" s="176"/>
      <c r="C261" s="156"/>
      <c r="D261" s="155" t="str">
        <f t="shared" si="17"/>
        <v/>
      </c>
      <c r="E261" s="155" t="str">
        <f t="shared" si="18"/>
        <v/>
      </c>
      <c r="F261" s="181"/>
      <c r="G261" s="155" t="str">
        <f t="shared" si="19"/>
        <v/>
      </c>
      <c r="H261" s="155" t="str">
        <f t="shared" si="20"/>
        <v/>
      </c>
    </row>
    <row r="262" spans="1:8" s="152" customFormat="1" ht="11.25" customHeight="1" x14ac:dyDescent="0.2">
      <c r="B262" s="176"/>
      <c r="C262" s="156"/>
      <c r="D262" s="155" t="str">
        <f t="shared" si="17"/>
        <v/>
      </c>
      <c r="E262" s="155" t="str">
        <f t="shared" si="18"/>
        <v/>
      </c>
      <c r="F262" s="181"/>
      <c r="G262" s="155" t="str">
        <f t="shared" si="19"/>
        <v/>
      </c>
      <c r="H262" s="155" t="str">
        <f t="shared" si="20"/>
        <v/>
      </c>
    </row>
    <row r="263" spans="1:8" ht="11.25" customHeight="1" x14ac:dyDescent="0.2">
      <c r="B263" s="176"/>
      <c r="C263" s="156"/>
      <c r="D263" s="155" t="str">
        <f t="shared" si="17"/>
        <v/>
      </c>
      <c r="E263" s="155" t="str">
        <f t="shared" si="18"/>
        <v/>
      </c>
      <c r="F263" s="181"/>
      <c r="G263" s="155" t="str">
        <f t="shared" si="19"/>
        <v/>
      </c>
      <c r="H263" s="155" t="str">
        <f t="shared" si="20"/>
        <v/>
      </c>
    </row>
    <row r="264" spans="1:8" ht="11.25" customHeight="1" x14ac:dyDescent="0.2">
      <c r="B264" s="176"/>
      <c r="C264" s="156"/>
      <c r="D264" s="155" t="str">
        <f t="shared" si="17"/>
        <v/>
      </c>
      <c r="E264" s="155" t="str">
        <f t="shared" si="18"/>
        <v/>
      </c>
      <c r="F264" s="181"/>
      <c r="G264" s="155" t="str">
        <f t="shared" si="19"/>
        <v/>
      </c>
      <c r="H264" s="155" t="str">
        <f t="shared" si="20"/>
        <v/>
      </c>
    </row>
    <row r="265" spans="1:8" ht="11.25" customHeight="1" x14ac:dyDescent="0.2">
      <c r="B265" s="176"/>
      <c r="C265" s="156"/>
      <c r="D265" s="155" t="str">
        <f t="shared" si="17"/>
        <v/>
      </c>
      <c r="E265" s="155" t="str">
        <f t="shared" si="18"/>
        <v/>
      </c>
      <c r="F265" s="181"/>
      <c r="G265" s="155" t="str">
        <f t="shared" si="19"/>
        <v/>
      </c>
      <c r="H265" s="155" t="str">
        <f t="shared" si="20"/>
        <v/>
      </c>
    </row>
    <row r="266" spans="1:8" ht="11.25" customHeight="1" x14ac:dyDescent="0.2">
      <c r="B266" s="176"/>
      <c r="C266" s="156"/>
      <c r="D266" s="155" t="str">
        <f t="shared" si="17"/>
        <v/>
      </c>
      <c r="E266" s="155" t="str">
        <f t="shared" si="18"/>
        <v/>
      </c>
      <c r="F266" s="181"/>
      <c r="G266" s="155" t="str">
        <f t="shared" si="19"/>
        <v/>
      </c>
      <c r="H266" s="155" t="str">
        <f t="shared" si="20"/>
        <v/>
      </c>
    </row>
    <row r="267" spans="1:8" ht="11.25" customHeight="1" x14ac:dyDescent="0.2">
      <c r="B267" s="176"/>
      <c r="C267" s="156"/>
      <c r="D267" s="155" t="str">
        <f t="shared" si="17"/>
        <v/>
      </c>
      <c r="E267" s="155" t="str">
        <f t="shared" si="18"/>
        <v/>
      </c>
      <c r="F267" s="181"/>
      <c r="G267" s="155" t="str">
        <f t="shared" si="19"/>
        <v/>
      </c>
      <c r="H267" s="155" t="str">
        <f t="shared" si="20"/>
        <v/>
      </c>
    </row>
    <row r="268" spans="1:8" ht="11.25" customHeight="1" x14ac:dyDescent="0.2">
      <c r="B268" s="176"/>
      <c r="C268" s="156"/>
      <c r="D268" s="155" t="str">
        <f t="shared" si="17"/>
        <v/>
      </c>
      <c r="E268" s="155" t="str">
        <f t="shared" si="18"/>
        <v/>
      </c>
      <c r="F268" s="181"/>
      <c r="G268" s="155" t="str">
        <f t="shared" si="19"/>
        <v/>
      </c>
      <c r="H268" s="155" t="str">
        <f t="shared" si="20"/>
        <v/>
      </c>
    </row>
    <row r="269" spans="1:8" ht="11.25" customHeight="1" x14ac:dyDescent="0.2">
      <c r="B269" s="176"/>
      <c r="C269" s="156"/>
      <c r="D269" s="155" t="str">
        <f t="shared" si="17"/>
        <v/>
      </c>
      <c r="E269" s="155" t="str">
        <f t="shared" si="18"/>
        <v/>
      </c>
      <c r="F269" s="181"/>
      <c r="G269" s="155" t="str">
        <f t="shared" si="19"/>
        <v/>
      </c>
      <c r="H269" s="155" t="str">
        <f t="shared" si="20"/>
        <v/>
      </c>
    </row>
    <row r="270" spans="1:8" ht="11.25" customHeight="1" x14ac:dyDescent="0.2">
      <c r="B270" s="176"/>
      <c r="C270" s="156"/>
      <c r="D270" s="155" t="str">
        <f t="shared" si="17"/>
        <v/>
      </c>
      <c r="E270" s="155" t="str">
        <f t="shared" si="18"/>
        <v/>
      </c>
      <c r="F270" s="181"/>
      <c r="G270" s="155" t="str">
        <f t="shared" si="19"/>
        <v/>
      </c>
      <c r="H270" s="155" t="str">
        <f t="shared" si="20"/>
        <v/>
      </c>
    </row>
    <row r="271" spans="1:8" ht="12" customHeight="1" thickBot="1" x14ac:dyDescent="0.25">
      <c r="B271" s="284"/>
      <c r="C271" s="285"/>
      <c r="D271" s="309" t="str">
        <f t="shared" si="17"/>
        <v/>
      </c>
      <c r="E271" s="309" t="str">
        <f t="shared" si="18"/>
        <v/>
      </c>
      <c r="F271" s="286"/>
      <c r="G271" s="309" t="str">
        <f t="shared" si="19"/>
        <v/>
      </c>
      <c r="H271" s="155" t="str">
        <f t="shared" si="20"/>
        <v/>
      </c>
    </row>
    <row r="272" spans="1:8" ht="12.75" customHeight="1" thickBot="1" x14ac:dyDescent="0.25">
      <c r="A272" s="159"/>
      <c r="B272" s="287" t="s">
        <v>831</v>
      </c>
      <c r="C272" s="288"/>
      <c r="D272" s="311"/>
      <c r="E272" s="292">
        <f>SUM(E233:E271)</f>
        <v>0</v>
      </c>
      <c r="F272" s="287" t="s">
        <v>831</v>
      </c>
      <c r="G272" s="288"/>
      <c r="H272" s="292">
        <f>SUM(H239:H271)</f>
        <v>988.60000000000025</v>
      </c>
    </row>
    <row r="273" spans="1:8" ht="12.75" customHeight="1" thickBot="1" x14ac:dyDescent="0.25">
      <c r="A273" s="159"/>
      <c r="B273" s="287" t="s">
        <v>832</v>
      </c>
      <c r="C273" s="288"/>
      <c r="D273" s="288"/>
      <c r="E273" s="292">
        <f>E272*10/100</f>
        <v>0</v>
      </c>
      <c r="F273" s="312" t="s">
        <v>832</v>
      </c>
      <c r="G273" s="295"/>
      <c r="H273" s="292">
        <f>H272*10/100</f>
        <v>98.860000000000014</v>
      </c>
    </row>
    <row r="274" spans="1:8" ht="12.75" customHeight="1" thickBot="1" x14ac:dyDescent="0.25">
      <c r="A274" s="159"/>
      <c r="B274" s="287" t="s">
        <v>24</v>
      </c>
      <c r="C274" s="288"/>
      <c r="D274" s="288"/>
      <c r="E274" s="321">
        <f>E272+E273</f>
        <v>0</v>
      </c>
      <c r="F274" s="287" t="s">
        <v>24</v>
      </c>
      <c r="G274" s="295"/>
      <c r="H274" s="292">
        <f>H272+H273</f>
        <v>1087.4600000000003</v>
      </c>
    </row>
    <row r="275" spans="1:8" ht="12.75" customHeight="1" thickBot="1" x14ac:dyDescent="0.25">
      <c r="B275" s="291" t="s">
        <v>10</v>
      </c>
      <c r="C275" s="288"/>
      <c r="D275" s="288"/>
      <c r="E275" s="322">
        <v>105</v>
      </c>
      <c r="F275" s="287" t="s">
        <v>10</v>
      </c>
      <c r="G275" s="288"/>
      <c r="H275" s="314">
        <v>93</v>
      </c>
    </row>
    <row r="276" spans="1:8" ht="12.75" customHeight="1" thickBot="1" x14ac:dyDescent="0.25">
      <c r="B276" s="298" t="s">
        <v>1261</v>
      </c>
      <c r="C276" s="288"/>
      <c r="D276" s="288"/>
      <c r="E276" s="323">
        <f>E274/E275</f>
        <v>0</v>
      </c>
      <c r="F276" s="287" t="s">
        <v>1261</v>
      </c>
      <c r="G276" s="288"/>
      <c r="H276" s="292">
        <f>H274/H275</f>
        <v>11.693118279569894</v>
      </c>
    </row>
    <row r="277" spans="1:8" ht="12" customHeight="1" thickBot="1" x14ac:dyDescent="0.25">
      <c r="B277" s="283" t="s">
        <v>1264</v>
      </c>
      <c r="C277" s="315" t="s">
        <v>1754</v>
      </c>
      <c r="D277" s="316"/>
      <c r="E277" s="316"/>
      <c r="F277" s="316"/>
      <c r="G277" s="316"/>
      <c r="H277" s="318"/>
    </row>
    <row r="278" spans="1:8" ht="12" customHeight="1" thickBot="1" x14ac:dyDescent="0.25">
      <c r="B278" s="283" t="s">
        <v>1265</v>
      </c>
      <c r="C278" s="302" t="s">
        <v>1856</v>
      </c>
      <c r="D278" s="303"/>
      <c r="E278" s="303"/>
      <c r="F278" s="303"/>
      <c r="G278" s="303"/>
      <c r="H278" s="304"/>
    </row>
    <row r="279" spans="1:8" ht="12" customHeight="1" thickBot="1" x14ac:dyDescent="0.25">
      <c r="B279" s="283" t="s">
        <v>1266</v>
      </c>
      <c r="C279" s="302" t="s">
        <v>1755</v>
      </c>
      <c r="D279" s="303"/>
      <c r="E279" s="303"/>
      <c r="F279" s="303"/>
      <c r="G279" s="303"/>
      <c r="H279" s="304"/>
    </row>
    <row r="280" spans="1:8" ht="12" customHeight="1" thickBot="1" x14ac:dyDescent="0.25">
      <c r="B280" s="283" t="s">
        <v>1267</v>
      </c>
      <c r="C280" s="324"/>
      <c r="D280" s="325"/>
      <c r="E280" s="325"/>
      <c r="F280" s="325"/>
      <c r="G280" s="325"/>
      <c r="H280" s="326"/>
    </row>
    <row r="281" spans="1:8" ht="12" customHeight="1" thickBot="1" x14ac:dyDescent="0.25">
      <c r="B281" s="283"/>
      <c r="C281" s="319"/>
      <c r="D281" s="319"/>
      <c r="E281" s="319"/>
      <c r="F281" s="319"/>
      <c r="G281" s="319"/>
      <c r="H281" s="319"/>
    </row>
    <row r="282" spans="1:8" ht="12" customHeight="1" thickBot="1" x14ac:dyDescent="0.25">
      <c r="B282" s="283"/>
      <c r="C282" s="302"/>
      <c r="D282" s="303"/>
      <c r="E282" s="303"/>
      <c r="F282" s="303"/>
      <c r="G282" s="303"/>
      <c r="H282" s="304"/>
    </row>
    <row r="283" spans="1:8" ht="12" customHeight="1" thickBot="1" x14ac:dyDescent="0.25">
      <c r="B283" s="283"/>
      <c r="C283" s="302"/>
      <c r="D283" s="303"/>
      <c r="E283" s="303"/>
      <c r="F283" s="303"/>
      <c r="G283" s="303"/>
      <c r="H283" s="304"/>
    </row>
    <row r="284" spans="1:8" ht="12" customHeight="1" thickBot="1" x14ac:dyDescent="0.25">
      <c r="B284" s="283"/>
      <c r="C284" s="302"/>
      <c r="D284" s="303"/>
      <c r="E284" s="303"/>
      <c r="F284" s="303"/>
      <c r="G284" s="303"/>
      <c r="H284" s="304"/>
    </row>
    <row r="285" spans="1:8" ht="12" customHeight="1" thickBot="1" x14ac:dyDescent="0.25">
      <c r="B285" s="283"/>
      <c r="C285" s="305"/>
      <c r="D285" s="306"/>
      <c r="E285" s="306"/>
      <c r="F285" s="306"/>
      <c r="G285" s="306"/>
      <c r="H285" s="307"/>
    </row>
    <row r="286" spans="1:8" ht="12" customHeight="1" thickBot="1" x14ac:dyDescent="0.25">
      <c r="B286" s="152"/>
      <c r="C286" s="319"/>
      <c r="D286" s="319"/>
      <c r="E286" s="319"/>
      <c r="F286" s="319"/>
      <c r="G286" s="319"/>
      <c r="H286" s="319"/>
    </row>
    <row r="287" spans="1:8" ht="21.75" customHeight="1" thickBot="1" x14ac:dyDescent="0.4">
      <c r="B287" s="277" t="s">
        <v>1895</v>
      </c>
      <c r="C287" s="278"/>
      <c r="D287" s="278"/>
      <c r="E287" s="278"/>
      <c r="F287" s="278"/>
      <c r="G287" s="278"/>
      <c r="H287" s="279"/>
    </row>
    <row r="288" spans="1:8" ht="12" customHeight="1" thickBot="1" x14ac:dyDescent="0.25">
      <c r="B288" s="280" t="s">
        <v>1891</v>
      </c>
      <c r="C288" s="281"/>
      <c r="D288" s="281"/>
      <c r="E288" s="282"/>
      <c r="F288" s="280" t="s">
        <v>1890</v>
      </c>
      <c r="G288" s="281"/>
      <c r="H288" s="282"/>
    </row>
    <row r="289" spans="2:8" ht="12" customHeight="1" thickBot="1" x14ac:dyDescent="0.25">
      <c r="B289" s="283" t="s">
        <v>1896</v>
      </c>
      <c r="C289" s="283" t="s">
        <v>20</v>
      </c>
      <c r="D289" s="283" t="s">
        <v>21</v>
      </c>
      <c r="E289" s="283" t="s">
        <v>22</v>
      </c>
      <c r="F289" s="283" t="s">
        <v>20</v>
      </c>
      <c r="G289" s="283" t="s">
        <v>21</v>
      </c>
      <c r="H289" s="283" t="s">
        <v>22</v>
      </c>
    </row>
    <row r="290" spans="2:8" s="152" customFormat="1" ht="11.25" customHeight="1" x14ac:dyDescent="0.2">
      <c r="B290" s="175"/>
      <c r="C290" s="160">
        <v>1</v>
      </c>
      <c r="D290" s="154" t="str">
        <f t="shared" ref="D290:D328" si="21">IF(B290="","",VLOOKUP(B290,INVENTARIO,2))</f>
        <v/>
      </c>
      <c r="E290" s="154" t="e">
        <f>IF(C290=0,"",C290*D290)</f>
        <v>#VALUE!</v>
      </c>
      <c r="F290" s="179"/>
      <c r="G290" s="154" t="str">
        <f>D290</f>
        <v/>
      </c>
      <c r="H290" s="155" t="str">
        <f>IF(F290=0,"",F290*G290)</f>
        <v/>
      </c>
    </row>
    <row r="291" spans="2:8" s="152" customFormat="1" ht="11.25" customHeight="1" x14ac:dyDescent="0.2">
      <c r="B291" s="176"/>
      <c r="C291" s="161">
        <v>3000</v>
      </c>
      <c r="D291" s="155" t="str">
        <f t="shared" si="21"/>
        <v/>
      </c>
      <c r="E291" s="155" t="e">
        <f t="shared" ref="E291:E328" si="22">IF(C291=0,"",C291*D291)</f>
        <v>#VALUE!</v>
      </c>
      <c r="F291" s="180"/>
      <c r="G291" s="155" t="str">
        <f t="shared" ref="G291:G328" si="23">D291</f>
        <v/>
      </c>
      <c r="H291" s="155" t="str">
        <f t="shared" ref="H291:H328" si="24">IF(F291=0,"",F291*G291)</f>
        <v/>
      </c>
    </row>
    <row r="292" spans="2:8" s="152" customFormat="1" ht="11.25" customHeight="1" x14ac:dyDescent="0.2">
      <c r="B292" s="176"/>
      <c r="C292" s="161">
        <v>2000</v>
      </c>
      <c r="D292" s="155" t="str">
        <f t="shared" si="21"/>
        <v/>
      </c>
      <c r="E292" s="155" t="e">
        <f t="shared" si="22"/>
        <v>#VALUE!</v>
      </c>
      <c r="F292" s="180"/>
      <c r="G292" s="155" t="str">
        <f t="shared" si="23"/>
        <v/>
      </c>
      <c r="H292" s="155" t="str">
        <f t="shared" si="24"/>
        <v/>
      </c>
    </row>
    <row r="293" spans="2:8" s="152" customFormat="1" ht="11.25" customHeight="1" x14ac:dyDescent="0.2">
      <c r="B293" s="176"/>
      <c r="C293" s="161">
        <v>500</v>
      </c>
      <c r="D293" s="155" t="str">
        <f t="shared" si="21"/>
        <v/>
      </c>
      <c r="E293" s="155" t="e">
        <f t="shared" si="22"/>
        <v>#VALUE!</v>
      </c>
      <c r="F293" s="180"/>
      <c r="G293" s="155" t="str">
        <f t="shared" si="23"/>
        <v/>
      </c>
      <c r="H293" s="155" t="str">
        <f t="shared" si="24"/>
        <v/>
      </c>
    </row>
    <row r="294" spans="2:8" s="152" customFormat="1" ht="11.25" customHeight="1" x14ac:dyDescent="0.2">
      <c r="B294" s="176"/>
      <c r="C294" s="161">
        <v>2000</v>
      </c>
      <c r="D294" s="155" t="str">
        <f t="shared" si="21"/>
        <v/>
      </c>
      <c r="E294" s="155" t="e">
        <f t="shared" si="22"/>
        <v>#VALUE!</v>
      </c>
      <c r="F294" s="180"/>
      <c r="G294" s="155" t="str">
        <f t="shared" si="23"/>
        <v/>
      </c>
      <c r="H294" s="155" t="str">
        <f t="shared" si="24"/>
        <v/>
      </c>
    </row>
    <row r="295" spans="2:8" s="152" customFormat="1" ht="11.25" customHeight="1" x14ac:dyDescent="0.2">
      <c r="B295" s="176"/>
      <c r="C295" s="161">
        <v>10</v>
      </c>
      <c r="D295" s="155" t="str">
        <f t="shared" si="21"/>
        <v/>
      </c>
      <c r="E295" s="155" t="e">
        <f t="shared" si="22"/>
        <v>#VALUE!</v>
      </c>
      <c r="F295" s="180"/>
      <c r="G295" s="155" t="str">
        <f t="shared" si="23"/>
        <v/>
      </c>
      <c r="H295" s="155" t="str">
        <f t="shared" si="24"/>
        <v/>
      </c>
    </row>
    <row r="296" spans="2:8" s="152" customFormat="1" ht="11.25" customHeight="1" x14ac:dyDescent="0.2">
      <c r="B296" s="176"/>
      <c r="C296" s="156"/>
      <c r="D296" s="155" t="str">
        <f t="shared" si="21"/>
        <v/>
      </c>
      <c r="E296" s="155" t="str">
        <f t="shared" si="22"/>
        <v/>
      </c>
      <c r="F296" s="180"/>
      <c r="G296" s="155" t="str">
        <f t="shared" si="23"/>
        <v/>
      </c>
      <c r="H296" s="155" t="str">
        <f t="shared" si="24"/>
        <v/>
      </c>
    </row>
    <row r="297" spans="2:8" ht="11.25" customHeight="1" x14ac:dyDescent="0.2">
      <c r="B297" s="176"/>
      <c r="C297" s="156"/>
      <c r="D297" s="155" t="str">
        <f t="shared" si="21"/>
        <v/>
      </c>
      <c r="E297" s="155" t="str">
        <f t="shared" si="22"/>
        <v/>
      </c>
      <c r="F297" s="180"/>
      <c r="G297" s="155" t="str">
        <f t="shared" si="23"/>
        <v/>
      </c>
      <c r="H297" s="155" t="str">
        <f t="shared" si="24"/>
        <v/>
      </c>
    </row>
    <row r="298" spans="2:8" ht="11.25" customHeight="1" x14ac:dyDescent="0.2">
      <c r="B298" s="176"/>
      <c r="C298" s="156"/>
      <c r="D298" s="155"/>
      <c r="E298" s="155"/>
      <c r="F298" s="180"/>
      <c r="G298" s="155"/>
      <c r="H298" s="155" t="str">
        <f t="shared" si="24"/>
        <v/>
      </c>
    </row>
    <row r="299" spans="2:8" ht="11.25" customHeight="1" x14ac:dyDescent="0.2">
      <c r="B299" s="176"/>
      <c r="C299" s="156"/>
      <c r="D299" s="155" t="str">
        <f t="shared" si="21"/>
        <v/>
      </c>
      <c r="E299" s="155" t="str">
        <f t="shared" si="22"/>
        <v/>
      </c>
      <c r="F299" s="180"/>
      <c r="G299" s="155" t="str">
        <f t="shared" si="23"/>
        <v/>
      </c>
      <c r="H299" s="155" t="str">
        <f t="shared" si="24"/>
        <v/>
      </c>
    </row>
    <row r="300" spans="2:8" ht="11.25" customHeight="1" x14ac:dyDescent="0.2">
      <c r="B300" s="176"/>
      <c r="C300" s="156"/>
      <c r="D300" s="155" t="str">
        <f t="shared" si="21"/>
        <v/>
      </c>
      <c r="E300" s="155" t="str">
        <f t="shared" si="22"/>
        <v/>
      </c>
      <c r="F300" s="180"/>
      <c r="G300" s="155" t="str">
        <f t="shared" si="23"/>
        <v/>
      </c>
      <c r="H300" s="155" t="str">
        <f t="shared" si="24"/>
        <v/>
      </c>
    </row>
    <row r="301" spans="2:8" ht="11.25" customHeight="1" x14ac:dyDescent="0.2">
      <c r="B301" s="176"/>
      <c r="C301" s="156"/>
      <c r="D301" s="155" t="str">
        <f t="shared" si="21"/>
        <v/>
      </c>
      <c r="E301" s="155" t="str">
        <f t="shared" si="22"/>
        <v/>
      </c>
      <c r="F301" s="180"/>
      <c r="G301" s="155" t="str">
        <f t="shared" si="23"/>
        <v/>
      </c>
      <c r="H301" s="155" t="str">
        <f t="shared" si="24"/>
        <v/>
      </c>
    </row>
    <row r="302" spans="2:8" ht="11.25" customHeight="1" x14ac:dyDescent="0.2">
      <c r="B302" s="176"/>
      <c r="C302" s="156"/>
      <c r="D302" s="155" t="str">
        <f t="shared" si="21"/>
        <v/>
      </c>
      <c r="E302" s="155" t="str">
        <f t="shared" si="22"/>
        <v/>
      </c>
      <c r="F302" s="180"/>
      <c r="G302" s="155" t="str">
        <f t="shared" si="23"/>
        <v/>
      </c>
      <c r="H302" s="155" t="str">
        <f t="shared" si="24"/>
        <v/>
      </c>
    </row>
    <row r="303" spans="2:8" ht="11.25" customHeight="1" x14ac:dyDescent="0.2">
      <c r="B303" s="176"/>
      <c r="C303" s="156"/>
      <c r="D303" s="155" t="str">
        <f t="shared" si="21"/>
        <v/>
      </c>
      <c r="E303" s="155" t="str">
        <f t="shared" si="22"/>
        <v/>
      </c>
      <c r="F303" s="180"/>
      <c r="G303" s="155" t="str">
        <f t="shared" si="23"/>
        <v/>
      </c>
      <c r="H303" s="155" t="str">
        <f t="shared" si="24"/>
        <v/>
      </c>
    </row>
    <row r="304" spans="2:8" ht="11.25" customHeight="1" x14ac:dyDescent="0.2">
      <c r="B304" s="176"/>
      <c r="C304" s="156"/>
      <c r="D304" s="155" t="str">
        <f t="shared" si="21"/>
        <v/>
      </c>
      <c r="E304" s="155" t="str">
        <f t="shared" si="22"/>
        <v/>
      </c>
      <c r="F304" s="180"/>
      <c r="G304" s="155" t="str">
        <f t="shared" si="23"/>
        <v/>
      </c>
      <c r="H304" s="155" t="str">
        <f t="shared" si="24"/>
        <v/>
      </c>
    </row>
    <row r="305" spans="2:8" ht="11.25" customHeight="1" x14ac:dyDescent="0.2">
      <c r="B305" s="176"/>
      <c r="C305" s="156"/>
      <c r="D305" s="155" t="str">
        <f t="shared" si="21"/>
        <v/>
      </c>
      <c r="E305" s="155" t="str">
        <f t="shared" si="22"/>
        <v/>
      </c>
      <c r="F305" s="180"/>
      <c r="G305" s="155" t="str">
        <f t="shared" si="23"/>
        <v/>
      </c>
      <c r="H305" s="155" t="str">
        <f t="shared" si="24"/>
        <v/>
      </c>
    </row>
    <row r="306" spans="2:8" ht="11.25" customHeight="1" x14ac:dyDescent="0.2">
      <c r="B306" s="176"/>
      <c r="C306" s="156"/>
      <c r="D306" s="155" t="str">
        <f t="shared" si="21"/>
        <v/>
      </c>
      <c r="E306" s="155" t="str">
        <f t="shared" si="22"/>
        <v/>
      </c>
      <c r="F306" s="180"/>
      <c r="G306" s="155" t="str">
        <f t="shared" si="23"/>
        <v/>
      </c>
      <c r="H306" s="155" t="str">
        <f t="shared" si="24"/>
        <v/>
      </c>
    </row>
    <row r="307" spans="2:8" ht="11.25" customHeight="1" x14ac:dyDescent="0.2">
      <c r="B307" s="176"/>
      <c r="C307" s="156"/>
      <c r="D307" s="155" t="str">
        <f t="shared" si="21"/>
        <v/>
      </c>
      <c r="E307" s="155" t="str">
        <f t="shared" si="22"/>
        <v/>
      </c>
      <c r="F307" s="180"/>
      <c r="G307" s="155" t="str">
        <f t="shared" si="23"/>
        <v/>
      </c>
      <c r="H307" s="155" t="str">
        <f t="shared" si="24"/>
        <v/>
      </c>
    </row>
    <row r="308" spans="2:8" ht="11.25" customHeight="1" x14ac:dyDescent="0.2">
      <c r="B308" s="176"/>
      <c r="C308" s="156"/>
      <c r="D308" s="155" t="str">
        <f t="shared" si="21"/>
        <v/>
      </c>
      <c r="E308" s="155" t="str">
        <f t="shared" si="22"/>
        <v/>
      </c>
      <c r="F308" s="180"/>
      <c r="G308" s="155" t="str">
        <f t="shared" si="23"/>
        <v/>
      </c>
      <c r="H308" s="155" t="str">
        <f t="shared" si="24"/>
        <v/>
      </c>
    </row>
    <row r="309" spans="2:8" ht="11.25" customHeight="1" x14ac:dyDescent="0.2">
      <c r="B309" s="176"/>
      <c r="C309" s="156"/>
      <c r="D309" s="155" t="str">
        <f t="shared" si="21"/>
        <v/>
      </c>
      <c r="E309" s="155" t="str">
        <f t="shared" si="22"/>
        <v/>
      </c>
      <c r="F309" s="180"/>
      <c r="G309" s="155" t="str">
        <f t="shared" si="23"/>
        <v/>
      </c>
      <c r="H309" s="155" t="str">
        <f t="shared" si="24"/>
        <v/>
      </c>
    </row>
    <row r="310" spans="2:8" ht="11.25" customHeight="1" x14ac:dyDescent="0.2">
      <c r="B310" s="176"/>
      <c r="C310" s="156"/>
      <c r="D310" s="155" t="str">
        <f t="shared" si="21"/>
        <v/>
      </c>
      <c r="E310" s="155" t="str">
        <f t="shared" si="22"/>
        <v/>
      </c>
      <c r="F310" s="180"/>
      <c r="G310" s="155" t="str">
        <f t="shared" si="23"/>
        <v/>
      </c>
      <c r="H310" s="155" t="str">
        <f t="shared" si="24"/>
        <v/>
      </c>
    </row>
    <row r="311" spans="2:8" ht="11.25" customHeight="1" x14ac:dyDescent="0.2">
      <c r="B311" s="176"/>
      <c r="C311" s="156"/>
      <c r="D311" s="155" t="str">
        <f t="shared" si="21"/>
        <v/>
      </c>
      <c r="E311" s="155" t="str">
        <f t="shared" si="22"/>
        <v/>
      </c>
      <c r="F311" s="180"/>
      <c r="G311" s="155" t="str">
        <f t="shared" si="23"/>
        <v/>
      </c>
      <c r="H311" s="155" t="str">
        <f t="shared" si="24"/>
        <v/>
      </c>
    </row>
    <row r="312" spans="2:8" ht="11.25" customHeight="1" x14ac:dyDescent="0.2">
      <c r="B312" s="176"/>
      <c r="C312" s="156"/>
      <c r="D312" s="155" t="str">
        <f t="shared" si="21"/>
        <v/>
      </c>
      <c r="E312" s="155" t="str">
        <f t="shared" si="22"/>
        <v/>
      </c>
      <c r="F312" s="180"/>
      <c r="G312" s="155" t="str">
        <f t="shared" si="23"/>
        <v/>
      </c>
      <c r="H312" s="155" t="str">
        <f t="shared" si="24"/>
        <v/>
      </c>
    </row>
    <row r="313" spans="2:8" ht="11.25" customHeight="1" x14ac:dyDescent="0.2">
      <c r="B313" s="176"/>
      <c r="C313" s="156"/>
      <c r="D313" s="155" t="str">
        <f t="shared" si="21"/>
        <v/>
      </c>
      <c r="E313" s="155" t="str">
        <f t="shared" si="22"/>
        <v/>
      </c>
      <c r="F313" s="180"/>
      <c r="G313" s="155" t="str">
        <f t="shared" si="23"/>
        <v/>
      </c>
      <c r="H313" s="155" t="str">
        <f t="shared" si="24"/>
        <v/>
      </c>
    </row>
    <row r="314" spans="2:8" ht="11.25" customHeight="1" x14ac:dyDescent="0.2">
      <c r="B314" s="176"/>
      <c r="C314" s="156"/>
      <c r="D314" s="155" t="str">
        <f t="shared" si="21"/>
        <v/>
      </c>
      <c r="E314" s="155" t="str">
        <f t="shared" si="22"/>
        <v/>
      </c>
      <c r="F314" s="180"/>
      <c r="G314" s="155" t="str">
        <f t="shared" si="23"/>
        <v/>
      </c>
      <c r="H314" s="155" t="str">
        <f t="shared" si="24"/>
        <v/>
      </c>
    </row>
    <row r="315" spans="2:8" ht="11.25" customHeight="1" x14ac:dyDescent="0.2">
      <c r="B315" s="176"/>
      <c r="C315" s="156"/>
      <c r="D315" s="155" t="str">
        <f t="shared" si="21"/>
        <v/>
      </c>
      <c r="E315" s="155" t="str">
        <f t="shared" si="22"/>
        <v/>
      </c>
      <c r="F315" s="180"/>
      <c r="G315" s="155" t="str">
        <f t="shared" si="23"/>
        <v/>
      </c>
      <c r="H315" s="155" t="str">
        <f t="shared" si="24"/>
        <v/>
      </c>
    </row>
    <row r="316" spans="2:8" ht="11.25" customHeight="1" x14ac:dyDescent="0.2">
      <c r="B316" s="176"/>
      <c r="C316" s="156"/>
      <c r="D316" s="155" t="str">
        <f t="shared" si="21"/>
        <v/>
      </c>
      <c r="E316" s="155" t="str">
        <f t="shared" si="22"/>
        <v/>
      </c>
      <c r="F316" s="180"/>
      <c r="G316" s="155" t="str">
        <f t="shared" si="23"/>
        <v/>
      </c>
      <c r="H316" s="155" t="str">
        <f t="shared" si="24"/>
        <v/>
      </c>
    </row>
    <row r="317" spans="2:8" ht="11.25" customHeight="1" x14ac:dyDescent="0.2">
      <c r="B317" s="176"/>
      <c r="C317" s="156"/>
      <c r="D317" s="155" t="str">
        <f t="shared" si="21"/>
        <v/>
      </c>
      <c r="E317" s="155" t="str">
        <f t="shared" si="22"/>
        <v/>
      </c>
      <c r="F317" s="180"/>
      <c r="G317" s="155" t="str">
        <f t="shared" si="23"/>
        <v/>
      </c>
      <c r="H317" s="155" t="str">
        <f t="shared" si="24"/>
        <v/>
      </c>
    </row>
    <row r="318" spans="2:8" ht="11.25" customHeight="1" x14ac:dyDescent="0.2">
      <c r="B318" s="176"/>
      <c r="C318" s="156"/>
      <c r="D318" s="155" t="str">
        <f t="shared" si="21"/>
        <v/>
      </c>
      <c r="E318" s="155" t="str">
        <f t="shared" si="22"/>
        <v/>
      </c>
      <c r="F318" s="180"/>
      <c r="G318" s="155" t="str">
        <f t="shared" si="23"/>
        <v/>
      </c>
      <c r="H318" s="155" t="str">
        <f t="shared" si="24"/>
        <v/>
      </c>
    </row>
    <row r="319" spans="2:8" ht="11.25" customHeight="1" x14ac:dyDescent="0.2">
      <c r="B319" s="176"/>
      <c r="C319" s="156"/>
      <c r="D319" s="155" t="str">
        <f t="shared" si="21"/>
        <v/>
      </c>
      <c r="E319" s="155" t="str">
        <f t="shared" si="22"/>
        <v/>
      </c>
      <c r="F319" s="180"/>
      <c r="G319" s="155" t="str">
        <f t="shared" si="23"/>
        <v/>
      </c>
      <c r="H319" s="155" t="str">
        <f t="shared" si="24"/>
        <v/>
      </c>
    </row>
    <row r="320" spans="2:8" ht="11.25" customHeight="1" x14ac:dyDescent="0.2">
      <c r="B320" s="176"/>
      <c r="C320" s="156"/>
      <c r="D320" s="155" t="str">
        <f t="shared" si="21"/>
        <v/>
      </c>
      <c r="E320" s="155" t="str">
        <f t="shared" si="22"/>
        <v/>
      </c>
      <c r="F320" s="180"/>
      <c r="G320" s="155" t="str">
        <f t="shared" si="23"/>
        <v/>
      </c>
      <c r="H320" s="155" t="str">
        <f t="shared" si="24"/>
        <v/>
      </c>
    </row>
    <row r="321" spans="1:8" ht="11.25" customHeight="1" x14ac:dyDescent="0.2">
      <c r="B321" s="176"/>
      <c r="C321" s="156"/>
      <c r="D321" s="155" t="str">
        <f t="shared" si="21"/>
        <v/>
      </c>
      <c r="E321" s="155" t="str">
        <f t="shared" si="22"/>
        <v/>
      </c>
      <c r="F321" s="180"/>
      <c r="G321" s="155" t="str">
        <f t="shared" si="23"/>
        <v/>
      </c>
      <c r="H321" s="155" t="str">
        <f t="shared" si="24"/>
        <v/>
      </c>
    </row>
    <row r="322" spans="1:8" ht="11.25" customHeight="1" x14ac:dyDescent="0.2">
      <c r="B322" s="176"/>
      <c r="C322" s="156"/>
      <c r="D322" s="155" t="str">
        <f t="shared" si="21"/>
        <v/>
      </c>
      <c r="E322" s="155" t="str">
        <f t="shared" si="22"/>
        <v/>
      </c>
      <c r="F322" s="180"/>
      <c r="G322" s="155" t="str">
        <f t="shared" si="23"/>
        <v/>
      </c>
      <c r="H322" s="155" t="str">
        <f t="shared" si="24"/>
        <v/>
      </c>
    </row>
    <row r="323" spans="1:8" ht="11.25" customHeight="1" x14ac:dyDescent="0.2">
      <c r="B323" s="176"/>
      <c r="C323" s="156"/>
      <c r="D323" s="155" t="str">
        <f t="shared" si="21"/>
        <v/>
      </c>
      <c r="E323" s="155" t="str">
        <f t="shared" si="22"/>
        <v/>
      </c>
      <c r="F323" s="180"/>
      <c r="G323" s="155" t="str">
        <f t="shared" si="23"/>
        <v/>
      </c>
      <c r="H323" s="155" t="str">
        <f t="shared" si="24"/>
        <v/>
      </c>
    </row>
    <row r="324" spans="1:8" ht="11.25" customHeight="1" x14ac:dyDescent="0.2">
      <c r="B324" s="176"/>
      <c r="C324" s="156"/>
      <c r="D324" s="155" t="str">
        <f t="shared" si="21"/>
        <v/>
      </c>
      <c r="E324" s="155" t="str">
        <f t="shared" si="22"/>
        <v/>
      </c>
      <c r="F324" s="180"/>
      <c r="G324" s="155" t="str">
        <f t="shared" si="23"/>
        <v/>
      </c>
      <c r="H324" s="155" t="str">
        <f t="shared" si="24"/>
        <v/>
      </c>
    </row>
    <row r="325" spans="1:8" ht="11.25" customHeight="1" x14ac:dyDescent="0.2">
      <c r="B325" s="176"/>
      <c r="C325" s="156"/>
      <c r="D325" s="155" t="str">
        <f t="shared" si="21"/>
        <v/>
      </c>
      <c r="E325" s="155" t="str">
        <f t="shared" si="22"/>
        <v/>
      </c>
      <c r="F325" s="180"/>
      <c r="G325" s="155" t="str">
        <f t="shared" si="23"/>
        <v/>
      </c>
      <c r="H325" s="155" t="str">
        <f t="shared" si="24"/>
        <v/>
      </c>
    </row>
    <row r="326" spans="1:8" ht="11.25" customHeight="1" x14ac:dyDescent="0.2">
      <c r="B326" s="176"/>
      <c r="C326" s="156"/>
      <c r="D326" s="155" t="str">
        <f t="shared" si="21"/>
        <v/>
      </c>
      <c r="E326" s="155" t="str">
        <f t="shared" si="22"/>
        <v/>
      </c>
      <c r="F326" s="180"/>
      <c r="G326" s="155" t="str">
        <f t="shared" si="23"/>
        <v/>
      </c>
      <c r="H326" s="155" t="str">
        <f t="shared" si="24"/>
        <v/>
      </c>
    </row>
    <row r="327" spans="1:8" ht="11.25" customHeight="1" x14ac:dyDescent="0.2">
      <c r="B327" s="176"/>
      <c r="C327" s="156"/>
      <c r="D327" s="155" t="str">
        <f t="shared" si="21"/>
        <v/>
      </c>
      <c r="E327" s="155" t="str">
        <f t="shared" si="22"/>
        <v/>
      </c>
      <c r="F327" s="180"/>
      <c r="G327" s="155" t="str">
        <f t="shared" si="23"/>
        <v/>
      </c>
      <c r="H327" s="155" t="str">
        <f t="shared" si="24"/>
        <v/>
      </c>
    </row>
    <row r="328" spans="1:8" ht="12" customHeight="1" thickBot="1" x14ac:dyDescent="0.25">
      <c r="B328" s="284"/>
      <c r="C328" s="285"/>
      <c r="D328" s="309" t="str">
        <f t="shared" si="21"/>
        <v/>
      </c>
      <c r="E328" s="309" t="str">
        <f t="shared" si="22"/>
        <v/>
      </c>
      <c r="F328" s="327"/>
      <c r="G328" s="309" t="str">
        <f t="shared" si="23"/>
        <v/>
      </c>
      <c r="H328" s="155" t="str">
        <f t="shared" si="24"/>
        <v/>
      </c>
    </row>
    <row r="329" spans="1:8" ht="12.75" customHeight="1" thickBot="1" x14ac:dyDescent="0.25">
      <c r="A329" s="159"/>
      <c r="B329" s="287" t="s">
        <v>831</v>
      </c>
      <c r="C329" s="288"/>
      <c r="D329" s="289"/>
      <c r="E329" s="290" t="e">
        <f>SUM(E290:E328)</f>
        <v>#VALUE!</v>
      </c>
      <c r="F329" s="291" t="s">
        <v>831</v>
      </c>
      <c r="G329" s="288"/>
      <c r="H329" s="292">
        <f>SUM(H290:H328)</f>
        <v>0</v>
      </c>
    </row>
    <row r="330" spans="1:8" ht="12.75" customHeight="1" thickBot="1" x14ac:dyDescent="0.25">
      <c r="A330" s="159"/>
      <c r="B330" s="287" t="s">
        <v>832</v>
      </c>
      <c r="C330" s="288"/>
      <c r="D330" s="293"/>
      <c r="E330" s="292" t="e">
        <f>E329*10/100</f>
        <v>#VALUE!</v>
      </c>
      <c r="F330" s="294" t="s">
        <v>832</v>
      </c>
      <c r="G330" s="295"/>
      <c r="H330" s="292">
        <f>H329*10/100</f>
        <v>0</v>
      </c>
    </row>
    <row r="331" spans="1:8" ht="12.75" customHeight="1" thickBot="1" x14ac:dyDescent="0.25">
      <c r="A331" s="159"/>
      <c r="B331" s="287" t="s">
        <v>24</v>
      </c>
      <c r="C331" s="288"/>
      <c r="D331" s="288"/>
      <c r="E331" s="154" t="e">
        <f>E329+E330</f>
        <v>#VALUE!</v>
      </c>
      <c r="F331" s="291" t="s">
        <v>24</v>
      </c>
      <c r="G331" s="295"/>
      <c r="H331" s="292">
        <f>H329+H330</f>
        <v>0</v>
      </c>
    </row>
    <row r="332" spans="1:8" ht="12.75" customHeight="1" thickBot="1" x14ac:dyDescent="0.25">
      <c r="B332" s="291" t="s">
        <v>10</v>
      </c>
      <c r="C332" s="288"/>
      <c r="D332" s="288"/>
      <c r="E332" s="328">
        <v>105</v>
      </c>
      <c r="F332" s="291" t="s">
        <v>10</v>
      </c>
      <c r="G332" s="288"/>
      <c r="H332" s="297"/>
    </row>
    <row r="333" spans="1:8" ht="12.75" customHeight="1" thickBot="1" x14ac:dyDescent="0.25">
      <c r="B333" s="298" t="s">
        <v>1261</v>
      </c>
      <c r="C333" s="288"/>
      <c r="D333" s="288"/>
      <c r="E333" s="292" t="e">
        <f>E331/E332</f>
        <v>#VALUE!</v>
      </c>
      <c r="F333" s="291" t="s">
        <v>1261</v>
      </c>
      <c r="G333" s="288"/>
      <c r="H333" s="292" t="e">
        <f>H331/H332</f>
        <v>#DIV/0!</v>
      </c>
    </row>
    <row r="334" spans="1:8" ht="12" customHeight="1" thickBot="1" x14ac:dyDescent="0.25">
      <c r="B334" s="283"/>
      <c r="C334" s="315" t="s">
        <v>1751</v>
      </c>
      <c r="D334" s="316"/>
      <c r="E334" s="316"/>
      <c r="F334" s="316"/>
      <c r="G334" s="316"/>
      <c r="H334" s="318"/>
    </row>
    <row r="335" spans="1:8" ht="12" customHeight="1" thickBot="1" x14ac:dyDescent="0.25">
      <c r="B335" s="283" t="s">
        <v>1268</v>
      </c>
      <c r="C335" s="302"/>
      <c r="D335" s="303"/>
      <c r="E335" s="303"/>
      <c r="F335" s="303"/>
      <c r="G335" s="303"/>
      <c r="H335" s="304"/>
    </row>
    <row r="336" spans="1:8" ht="12" customHeight="1" thickBot="1" x14ac:dyDescent="0.25">
      <c r="B336" s="283" t="s">
        <v>1269</v>
      </c>
      <c r="C336" s="302"/>
      <c r="D336" s="303"/>
      <c r="E336" s="303"/>
      <c r="F336" s="303"/>
      <c r="G336" s="303"/>
      <c r="H336" s="304"/>
    </row>
    <row r="337" spans="2:8" ht="12" customHeight="1" thickBot="1" x14ac:dyDescent="0.25">
      <c r="B337" s="283" t="s">
        <v>1270</v>
      </c>
      <c r="C337" s="302"/>
      <c r="D337" s="303"/>
      <c r="E337" s="303"/>
      <c r="F337" s="303"/>
      <c r="G337" s="303"/>
      <c r="H337" s="304"/>
    </row>
    <row r="338" spans="2:8" ht="12" customHeight="1" thickBot="1" x14ac:dyDescent="0.25">
      <c r="B338" s="283" t="s">
        <v>1271</v>
      </c>
      <c r="C338" s="302"/>
      <c r="D338" s="303"/>
      <c r="E338" s="303"/>
      <c r="F338" s="303"/>
      <c r="G338" s="303"/>
      <c r="H338" s="304"/>
    </row>
    <row r="339" spans="2:8" ht="12" customHeight="1" thickBot="1" x14ac:dyDescent="0.25">
      <c r="B339" s="283"/>
      <c r="C339" s="302"/>
      <c r="D339" s="303"/>
      <c r="E339" s="303"/>
      <c r="F339" s="303"/>
      <c r="G339" s="303"/>
      <c r="H339" s="304"/>
    </row>
    <row r="340" spans="2:8" ht="12" customHeight="1" thickBot="1" x14ac:dyDescent="0.25">
      <c r="B340" s="283"/>
      <c r="C340" s="302"/>
      <c r="D340" s="303"/>
      <c r="E340" s="303"/>
      <c r="F340" s="303"/>
      <c r="G340" s="303"/>
      <c r="H340" s="304"/>
    </row>
    <row r="341" spans="2:8" ht="12" customHeight="1" thickBot="1" x14ac:dyDescent="0.25">
      <c r="B341" s="283"/>
      <c r="C341" s="302"/>
      <c r="D341" s="303"/>
      <c r="E341" s="303"/>
      <c r="F341" s="303"/>
      <c r="G341" s="303"/>
      <c r="H341" s="304"/>
    </row>
    <row r="342" spans="2:8" ht="12" customHeight="1" thickBot="1" x14ac:dyDescent="0.25">
      <c r="B342" s="283"/>
      <c r="C342" s="305"/>
      <c r="D342" s="306"/>
      <c r="E342" s="306"/>
      <c r="F342" s="306"/>
      <c r="G342" s="306"/>
      <c r="H342" s="307"/>
    </row>
  </sheetData>
  <autoFilter ref="B1:B342"/>
  <mergeCells count="72">
    <mergeCell ref="C60:H60"/>
    <mergeCell ref="B5:H5"/>
    <mergeCell ref="B6:H6"/>
    <mergeCell ref="B7:E7"/>
    <mergeCell ref="F7:H7"/>
    <mergeCell ref="C53:H53"/>
    <mergeCell ref="C54:H54"/>
    <mergeCell ref="C55:H55"/>
    <mergeCell ref="C56:H56"/>
    <mergeCell ref="C57:H57"/>
    <mergeCell ref="C58:H58"/>
    <mergeCell ref="C59:H59"/>
    <mergeCell ref="C118:H118"/>
    <mergeCell ref="C61:H61"/>
    <mergeCell ref="B62:H62"/>
    <mergeCell ref="B63:E63"/>
    <mergeCell ref="F63:H63"/>
    <mergeCell ref="C111:H111"/>
    <mergeCell ref="C112:H112"/>
    <mergeCell ref="C113:H113"/>
    <mergeCell ref="C114:H114"/>
    <mergeCell ref="C115:H115"/>
    <mergeCell ref="C116:H116"/>
    <mergeCell ref="C117:H117"/>
    <mergeCell ref="C176:H176"/>
    <mergeCell ref="C119:H119"/>
    <mergeCell ref="B121:H121"/>
    <mergeCell ref="B122:E122"/>
    <mergeCell ref="F122:H122"/>
    <mergeCell ref="C169:H169"/>
    <mergeCell ref="C170:H170"/>
    <mergeCell ref="C171:H171"/>
    <mergeCell ref="C172:H172"/>
    <mergeCell ref="C173:H173"/>
    <mergeCell ref="C174:H174"/>
    <mergeCell ref="C175:H175"/>
    <mergeCell ref="C233:H233"/>
    <mergeCell ref="C177:H177"/>
    <mergeCell ref="B179:H179"/>
    <mergeCell ref="B180:E180"/>
    <mergeCell ref="F180:H180"/>
    <mergeCell ref="C226:H226"/>
    <mergeCell ref="C227:H227"/>
    <mergeCell ref="C228:H228"/>
    <mergeCell ref="C229:H229"/>
    <mergeCell ref="C230:H230"/>
    <mergeCell ref="C231:H231"/>
    <mergeCell ref="C232:H232"/>
    <mergeCell ref="C285:H285"/>
    <mergeCell ref="C234:H234"/>
    <mergeCell ref="B236:H236"/>
    <mergeCell ref="B237:E237"/>
    <mergeCell ref="F237:H237"/>
    <mergeCell ref="C277:H277"/>
    <mergeCell ref="C278:H278"/>
    <mergeCell ref="C279:H279"/>
    <mergeCell ref="C280:H280"/>
    <mergeCell ref="C282:H282"/>
    <mergeCell ref="C283:H283"/>
    <mergeCell ref="C284:H284"/>
    <mergeCell ref="C342:H342"/>
    <mergeCell ref="B287:H287"/>
    <mergeCell ref="B288:E288"/>
    <mergeCell ref="F288:H288"/>
    <mergeCell ref="C334:H334"/>
    <mergeCell ref="C335:H335"/>
    <mergeCell ref="C336:H336"/>
    <mergeCell ref="C337:H337"/>
    <mergeCell ref="C338:H338"/>
    <mergeCell ref="C339:H339"/>
    <mergeCell ref="C340:H340"/>
    <mergeCell ref="C341:H341"/>
  </mergeCells>
  <dataValidations count="1">
    <dataValidation type="list" allowBlank="1" showInputMessage="1" showErrorMessage="1" sqref="B290:B328 B239:B271 B9:B47 B65:B105 B124:B163 B182:B220">
      <formula1>ARTICULO</formula1>
    </dataValidation>
  </dataValidations>
  <pageMargins left="0.59055118110236227" right="0.74803149606299213" top="0.98425196850393704" bottom="0.98425196850393704" header="0" footer="0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1"/>
  </sheetPr>
  <dimension ref="A1:T342"/>
  <sheetViews>
    <sheetView showGridLines="0" zoomScale="110" zoomScaleNormal="110" zoomScaleSheetLayoutView="100" workbookViewId="0">
      <selection activeCell="B5" sqref="B5:H5"/>
    </sheetView>
  </sheetViews>
  <sheetFormatPr baseColWidth="10" defaultColWidth="11.42578125" defaultRowHeight="11.25" x14ac:dyDescent="0.2"/>
  <cols>
    <col min="1" max="1" width="3.28515625" style="152" customWidth="1"/>
    <col min="2" max="2" width="35.140625" style="125" bestFit="1" customWidth="1"/>
    <col min="3" max="3" width="11.28515625" style="125" hidden="1" customWidth="1"/>
    <col min="4" max="4" width="15.5703125" style="125" hidden="1" customWidth="1"/>
    <col min="5" max="5" width="15.28515625" style="125" hidden="1" customWidth="1"/>
    <col min="6" max="6" width="27.42578125" style="125" customWidth="1"/>
    <col min="7" max="7" width="11.42578125" style="125"/>
    <col min="8" max="8" width="21.28515625" style="125" customWidth="1"/>
    <col min="9" max="20" width="11.42578125" style="152"/>
    <col min="21" max="16384" width="11.42578125" style="125"/>
  </cols>
  <sheetData>
    <row r="1" spans="1:20" ht="12" customHeight="1" x14ac:dyDescent="0.2">
      <c r="C1" s="126"/>
    </row>
    <row r="2" spans="1:20" ht="15.75" customHeight="1" x14ac:dyDescent="0.25">
      <c r="B2" s="132" t="s">
        <v>1272</v>
      </c>
      <c r="C2" s="126"/>
    </row>
    <row r="3" spans="1:20" ht="11.25" customHeight="1" x14ac:dyDescent="0.2">
      <c r="A3" s="158"/>
    </row>
    <row r="4" spans="1:20" ht="15.75" customHeight="1" x14ac:dyDescent="0.25">
      <c r="B4" s="192" t="s">
        <v>1858</v>
      </c>
    </row>
    <row r="5" spans="1:20" s="124" customFormat="1" ht="12" customHeight="1" thickBot="1" x14ac:dyDescent="0.25">
      <c r="A5" s="157"/>
      <c r="B5" s="231"/>
      <c r="C5" s="231"/>
      <c r="D5" s="231"/>
      <c r="E5" s="231"/>
      <c r="F5" s="231"/>
      <c r="G5" s="231"/>
      <c r="H5" s="231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</row>
    <row r="6" spans="1:20" ht="21.75" customHeight="1" thickBot="1" x14ac:dyDescent="0.4">
      <c r="B6" s="212" t="s">
        <v>42</v>
      </c>
      <c r="C6" s="213"/>
      <c r="D6" s="213"/>
      <c r="E6" s="213"/>
      <c r="F6" s="213"/>
      <c r="G6" s="213"/>
      <c r="H6" s="214"/>
    </row>
    <row r="7" spans="1:20" ht="12" customHeight="1" thickBot="1" x14ac:dyDescent="0.25">
      <c r="B7" s="215" t="s">
        <v>12</v>
      </c>
      <c r="C7" s="216"/>
      <c r="D7" s="216"/>
      <c r="E7" s="217"/>
      <c r="F7" s="218" t="s">
        <v>13</v>
      </c>
      <c r="G7" s="219"/>
      <c r="H7" s="220"/>
    </row>
    <row r="8" spans="1:20" ht="12" customHeight="1" thickBot="1" x14ac:dyDescent="0.25">
      <c r="B8" s="131" t="s">
        <v>19</v>
      </c>
      <c r="C8" s="131" t="s">
        <v>20</v>
      </c>
      <c r="D8" s="131" t="s">
        <v>21</v>
      </c>
      <c r="E8" s="131" t="s">
        <v>22</v>
      </c>
      <c r="F8" s="134" t="s">
        <v>20</v>
      </c>
      <c r="G8" s="134" t="s">
        <v>21</v>
      </c>
      <c r="H8" s="134" t="s">
        <v>22</v>
      </c>
    </row>
    <row r="9" spans="1:20" s="152" customFormat="1" ht="11.25" customHeight="1" x14ac:dyDescent="0.2">
      <c r="B9" s="175" t="s">
        <v>1793</v>
      </c>
      <c r="C9" s="160">
        <v>1000</v>
      </c>
      <c r="D9" s="154">
        <f t="shared" ref="D9:D47" si="0">IF(B9="","",VLOOKUP(B9,INVENTARIO,2))</f>
        <v>0</v>
      </c>
      <c r="E9" s="154">
        <f>IF(C9=0,"",C9*D9)</f>
        <v>0</v>
      </c>
      <c r="F9" s="179">
        <v>3000</v>
      </c>
      <c r="G9" s="154">
        <f>D9</f>
        <v>0</v>
      </c>
      <c r="H9" s="155">
        <f>IF(F9=0,"",F9*G9)</f>
        <v>0</v>
      </c>
    </row>
    <row r="10" spans="1:20" s="152" customFormat="1" ht="11.25" customHeight="1" x14ac:dyDescent="0.2">
      <c r="B10" s="176" t="s">
        <v>1825</v>
      </c>
      <c r="C10" s="161">
        <v>400</v>
      </c>
      <c r="D10" s="155">
        <f t="shared" si="0"/>
        <v>2.5729999999999999E-2</v>
      </c>
      <c r="E10" s="155">
        <f t="shared" ref="E10:E17" si="1">IF(C10=0,"",C10*D10)</f>
        <v>10.292</v>
      </c>
      <c r="F10" s="180">
        <v>3000</v>
      </c>
      <c r="G10" s="155">
        <f t="shared" ref="G10:G47" si="2">D10</f>
        <v>2.5729999999999999E-2</v>
      </c>
      <c r="H10" s="155">
        <f t="shared" ref="H10:H47" si="3">IF(F10=0,"",F10*G10)</f>
        <v>77.19</v>
      </c>
    </row>
    <row r="11" spans="1:20" s="152" customFormat="1" ht="11.25" customHeight="1" x14ac:dyDescent="0.2">
      <c r="B11" s="176" t="s">
        <v>1702</v>
      </c>
      <c r="C11" s="161">
        <v>1500</v>
      </c>
      <c r="D11" s="155">
        <f t="shared" si="0"/>
        <v>1.4999999999999999E-2</v>
      </c>
      <c r="E11" s="155">
        <f t="shared" si="1"/>
        <v>22.5</v>
      </c>
      <c r="F11" s="180">
        <v>3000</v>
      </c>
      <c r="G11" s="155">
        <f t="shared" si="2"/>
        <v>1.4999999999999999E-2</v>
      </c>
      <c r="H11" s="155">
        <f t="shared" si="3"/>
        <v>45</v>
      </c>
    </row>
    <row r="12" spans="1:20" s="152" customFormat="1" ht="11.25" customHeight="1" x14ac:dyDescent="0.2">
      <c r="B12" s="176" t="s">
        <v>1799</v>
      </c>
      <c r="C12" s="161">
        <v>1500</v>
      </c>
      <c r="D12" s="155">
        <f t="shared" si="0"/>
        <v>0.02</v>
      </c>
      <c r="E12" s="155">
        <f t="shared" si="1"/>
        <v>30</v>
      </c>
      <c r="F12" s="180">
        <v>2000</v>
      </c>
      <c r="G12" s="155">
        <f t="shared" si="2"/>
        <v>0.02</v>
      </c>
      <c r="H12" s="155">
        <f t="shared" si="3"/>
        <v>40</v>
      </c>
    </row>
    <row r="13" spans="1:20" s="152" customFormat="1" ht="11.25" customHeight="1" x14ac:dyDescent="0.2">
      <c r="B13" s="176" t="s">
        <v>1785</v>
      </c>
      <c r="C13" s="161">
        <v>1500</v>
      </c>
      <c r="D13" s="155">
        <f t="shared" si="0"/>
        <v>4.5</v>
      </c>
      <c r="E13" s="155">
        <f t="shared" si="1"/>
        <v>6750</v>
      </c>
      <c r="F13" s="180">
        <v>10</v>
      </c>
      <c r="G13" s="155">
        <f t="shared" si="2"/>
        <v>4.5</v>
      </c>
      <c r="H13" s="155">
        <f t="shared" si="3"/>
        <v>45</v>
      </c>
    </row>
    <row r="14" spans="1:20" s="152" customFormat="1" ht="11.25" customHeight="1" x14ac:dyDescent="0.2">
      <c r="B14" s="176" t="s">
        <v>1697</v>
      </c>
      <c r="C14" s="156">
        <v>2</v>
      </c>
      <c r="D14" s="155">
        <f t="shared" si="0"/>
        <v>4.0000000000000001E-3</v>
      </c>
      <c r="E14" s="155">
        <f t="shared" si="1"/>
        <v>8.0000000000000002E-3</v>
      </c>
      <c r="F14" s="181">
        <v>6000</v>
      </c>
      <c r="G14" s="155">
        <f t="shared" si="2"/>
        <v>4.0000000000000001E-3</v>
      </c>
      <c r="H14" s="155">
        <f t="shared" si="3"/>
        <v>24</v>
      </c>
    </row>
    <row r="15" spans="1:20" s="152" customFormat="1" ht="11.25" customHeight="1" x14ac:dyDescent="0.2">
      <c r="B15" s="176" t="s">
        <v>1784</v>
      </c>
      <c r="C15" s="156">
        <v>2000</v>
      </c>
      <c r="D15" s="155">
        <f t="shared" si="0"/>
        <v>8.33</v>
      </c>
      <c r="E15" s="155">
        <f t="shared" si="1"/>
        <v>16660</v>
      </c>
      <c r="F15" s="181">
        <v>10</v>
      </c>
      <c r="G15" s="155">
        <f t="shared" si="2"/>
        <v>8.33</v>
      </c>
      <c r="H15" s="155">
        <f t="shared" si="3"/>
        <v>83.3</v>
      </c>
    </row>
    <row r="16" spans="1:20" s="152" customFormat="1" ht="11.25" customHeight="1" x14ac:dyDescent="0.2">
      <c r="B16" s="176" t="s">
        <v>1764</v>
      </c>
      <c r="C16" s="156">
        <v>2000</v>
      </c>
      <c r="D16" s="155">
        <f t="shared" si="0"/>
        <v>2E-3</v>
      </c>
      <c r="E16" s="155">
        <f t="shared" si="1"/>
        <v>4</v>
      </c>
      <c r="F16" s="181">
        <v>10000</v>
      </c>
      <c r="G16" s="155">
        <f t="shared" si="2"/>
        <v>2E-3</v>
      </c>
      <c r="H16" s="155">
        <f t="shared" si="3"/>
        <v>20</v>
      </c>
    </row>
    <row r="17" spans="2:8" s="152" customFormat="1" x14ac:dyDescent="0.2">
      <c r="B17" s="176" t="s">
        <v>1800</v>
      </c>
      <c r="C17" s="156">
        <v>2000</v>
      </c>
      <c r="D17" s="155">
        <f t="shared" si="0"/>
        <v>0.05</v>
      </c>
      <c r="E17" s="155">
        <f t="shared" si="1"/>
        <v>100</v>
      </c>
      <c r="F17" s="181">
        <v>2000</v>
      </c>
      <c r="G17" s="155">
        <f t="shared" si="2"/>
        <v>0.05</v>
      </c>
      <c r="H17" s="155">
        <f t="shared" si="3"/>
        <v>100</v>
      </c>
    </row>
    <row r="18" spans="2:8" s="152" customFormat="1" ht="11.25" customHeight="1" x14ac:dyDescent="0.2">
      <c r="B18" s="176" t="s">
        <v>1745</v>
      </c>
      <c r="C18" s="156"/>
      <c r="D18" s="155">
        <f t="shared" si="0"/>
        <v>0.01</v>
      </c>
      <c r="E18" s="155"/>
      <c r="F18" s="181">
        <v>2000</v>
      </c>
      <c r="G18" s="155">
        <f t="shared" si="2"/>
        <v>0.01</v>
      </c>
      <c r="H18" s="155">
        <f t="shared" si="3"/>
        <v>20</v>
      </c>
    </row>
    <row r="19" spans="2:8" s="152" customFormat="1" ht="11.25" customHeight="1" thickBot="1" x14ac:dyDescent="0.25">
      <c r="B19" s="176" t="s">
        <v>1675</v>
      </c>
      <c r="C19" s="156"/>
      <c r="D19" s="155">
        <f t="shared" si="0"/>
        <v>2.8000000000000001E-2</v>
      </c>
      <c r="E19" s="155"/>
      <c r="F19" s="181">
        <v>3000</v>
      </c>
      <c r="G19" s="155">
        <f t="shared" si="2"/>
        <v>2.8000000000000001E-2</v>
      </c>
      <c r="H19" s="155">
        <f t="shared" si="3"/>
        <v>84</v>
      </c>
    </row>
    <row r="20" spans="2:8" s="152" customFormat="1" ht="11.25" customHeight="1" x14ac:dyDescent="0.2">
      <c r="B20" s="175" t="s">
        <v>1672</v>
      </c>
      <c r="C20" s="156"/>
      <c r="D20" s="155">
        <f t="shared" si="0"/>
        <v>5.9819999999999998E-2</v>
      </c>
      <c r="E20" s="155"/>
      <c r="F20" s="181">
        <v>2000</v>
      </c>
      <c r="G20" s="155">
        <f t="shared" si="2"/>
        <v>5.9819999999999998E-2</v>
      </c>
      <c r="H20" s="155">
        <f t="shared" si="3"/>
        <v>119.64</v>
      </c>
    </row>
    <row r="21" spans="2:8" s="152" customFormat="1" ht="11.25" customHeight="1" thickBot="1" x14ac:dyDescent="0.25">
      <c r="B21" s="176" t="s">
        <v>1674</v>
      </c>
      <c r="C21" s="156"/>
      <c r="D21" s="155">
        <f t="shared" si="0"/>
        <v>3.3000000000000002E-2</v>
      </c>
      <c r="E21" s="155"/>
      <c r="F21" s="181">
        <v>1500</v>
      </c>
      <c r="G21" s="155">
        <f t="shared" si="2"/>
        <v>3.3000000000000002E-2</v>
      </c>
      <c r="H21" s="155">
        <f t="shared" si="3"/>
        <v>49.5</v>
      </c>
    </row>
    <row r="22" spans="2:8" s="152" customFormat="1" ht="11.25" customHeight="1" x14ac:dyDescent="0.2">
      <c r="B22" s="175" t="s">
        <v>1670</v>
      </c>
      <c r="C22" s="156"/>
      <c r="D22" s="155">
        <f t="shared" si="0"/>
        <v>4.5090000000000005E-2</v>
      </c>
      <c r="E22" s="155"/>
      <c r="F22" s="181">
        <v>5000</v>
      </c>
      <c r="G22" s="155">
        <f t="shared" si="2"/>
        <v>4.5090000000000005E-2</v>
      </c>
      <c r="H22" s="155">
        <f t="shared" si="3"/>
        <v>225.45000000000002</v>
      </c>
    </row>
    <row r="23" spans="2:8" s="152" customFormat="1" ht="11.25" customHeight="1" x14ac:dyDescent="0.2">
      <c r="B23" s="176" t="s">
        <v>1673</v>
      </c>
      <c r="C23" s="156"/>
      <c r="D23" s="155">
        <f t="shared" si="0"/>
        <v>1.5090000000000001E-2</v>
      </c>
      <c r="E23" s="155"/>
      <c r="F23" s="181">
        <v>1500</v>
      </c>
      <c r="G23" s="155">
        <f t="shared" si="2"/>
        <v>1.5090000000000001E-2</v>
      </c>
      <c r="H23" s="155">
        <f t="shared" si="3"/>
        <v>22.635000000000002</v>
      </c>
    </row>
    <row r="24" spans="2:8" s="152" customFormat="1" ht="11.25" customHeight="1" x14ac:dyDescent="0.2">
      <c r="B24" s="176" t="s">
        <v>1768</v>
      </c>
      <c r="C24" s="156"/>
      <c r="D24" s="155">
        <f t="shared" si="0"/>
        <v>3.3000000000000002E-2</v>
      </c>
      <c r="E24" s="155" t="str">
        <f t="shared" ref="E24:E31" si="4">IF(C24=0,"",C24*D24)</f>
        <v/>
      </c>
      <c r="F24" s="181">
        <v>1000</v>
      </c>
      <c r="G24" s="155">
        <f t="shared" si="2"/>
        <v>3.3000000000000002E-2</v>
      </c>
      <c r="H24" s="155">
        <f t="shared" si="3"/>
        <v>33</v>
      </c>
    </row>
    <row r="25" spans="2:8" s="152" customFormat="1" ht="11.25" customHeight="1" x14ac:dyDescent="0.2">
      <c r="B25" s="176" t="s">
        <v>1679</v>
      </c>
      <c r="C25" s="156"/>
      <c r="D25" s="155">
        <f t="shared" si="0"/>
        <v>6.7499999999999999E-3</v>
      </c>
      <c r="E25" s="155" t="str">
        <f t="shared" si="4"/>
        <v/>
      </c>
      <c r="F25" s="181">
        <v>1000</v>
      </c>
      <c r="G25" s="155">
        <f t="shared" si="2"/>
        <v>6.7499999999999999E-3</v>
      </c>
      <c r="H25" s="155">
        <f t="shared" si="3"/>
        <v>6.75</v>
      </c>
    </row>
    <row r="26" spans="2:8" s="152" customFormat="1" ht="11.25" customHeight="1" x14ac:dyDescent="0.2">
      <c r="B26" s="176" t="s">
        <v>1677</v>
      </c>
      <c r="C26" s="156"/>
      <c r="D26" s="155">
        <f t="shared" si="0"/>
        <v>8.2874999999999997E-3</v>
      </c>
      <c r="E26" s="155" t="str">
        <f t="shared" si="4"/>
        <v/>
      </c>
      <c r="F26" s="181">
        <v>800</v>
      </c>
      <c r="G26" s="155">
        <f t="shared" si="2"/>
        <v>8.2874999999999997E-3</v>
      </c>
      <c r="H26" s="155">
        <f t="shared" si="3"/>
        <v>6.63</v>
      </c>
    </row>
    <row r="27" spans="2:8" s="152" customFormat="1" ht="11.25" customHeight="1" x14ac:dyDescent="0.2">
      <c r="B27" s="176" t="s">
        <v>1678</v>
      </c>
      <c r="C27" s="156"/>
      <c r="D27" s="155">
        <f t="shared" si="0"/>
        <v>4.9000000000000007E-3</v>
      </c>
      <c r="E27" s="155" t="str">
        <f t="shared" si="4"/>
        <v/>
      </c>
      <c r="F27" s="181">
        <v>3000</v>
      </c>
      <c r="G27" s="155">
        <f t="shared" si="2"/>
        <v>4.9000000000000007E-3</v>
      </c>
      <c r="H27" s="155">
        <f t="shared" si="3"/>
        <v>14.700000000000003</v>
      </c>
    </row>
    <row r="28" spans="2:8" s="152" customFormat="1" ht="11.25" customHeight="1" x14ac:dyDescent="0.2">
      <c r="B28" s="176" t="s">
        <v>1675</v>
      </c>
      <c r="C28" s="156"/>
      <c r="D28" s="155">
        <f t="shared" si="0"/>
        <v>2.8000000000000001E-2</v>
      </c>
      <c r="E28" s="155" t="str">
        <f t="shared" si="4"/>
        <v/>
      </c>
      <c r="F28" s="181">
        <v>3000</v>
      </c>
      <c r="G28" s="155">
        <f t="shared" si="2"/>
        <v>2.8000000000000001E-2</v>
      </c>
      <c r="H28" s="155">
        <f t="shared" si="3"/>
        <v>84</v>
      </c>
    </row>
    <row r="29" spans="2:8" s="152" customFormat="1" ht="11.25" customHeight="1" x14ac:dyDescent="0.2">
      <c r="B29" s="176" t="s">
        <v>1787</v>
      </c>
      <c r="C29" s="156"/>
      <c r="D29" s="155">
        <f t="shared" si="0"/>
        <v>17.690000000000001</v>
      </c>
      <c r="E29" s="155" t="str">
        <f t="shared" si="4"/>
        <v/>
      </c>
      <c r="F29" s="181">
        <v>6</v>
      </c>
      <c r="G29" s="155">
        <f t="shared" si="2"/>
        <v>17.690000000000001</v>
      </c>
      <c r="H29" s="155">
        <f t="shared" si="3"/>
        <v>106.14000000000001</v>
      </c>
    </row>
    <row r="30" spans="2:8" s="152" customFormat="1" ht="11.25" customHeight="1" thickBot="1" x14ac:dyDescent="0.25">
      <c r="B30" s="176"/>
      <c r="C30" s="156"/>
      <c r="D30" s="155" t="str">
        <f t="shared" si="0"/>
        <v/>
      </c>
      <c r="E30" s="155" t="str">
        <f t="shared" si="4"/>
        <v/>
      </c>
      <c r="F30" s="181"/>
      <c r="G30" s="155" t="str">
        <f t="shared" si="2"/>
        <v/>
      </c>
      <c r="H30" s="155" t="str">
        <f t="shared" si="3"/>
        <v/>
      </c>
    </row>
    <row r="31" spans="2:8" s="152" customFormat="1" ht="11.25" customHeight="1" thickBot="1" x14ac:dyDescent="0.25">
      <c r="B31" s="175"/>
      <c r="C31" s="156"/>
      <c r="D31" s="155" t="str">
        <f t="shared" si="0"/>
        <v/>
      </c>
      <c r="E31" s="155" t="str">
        <f t="shared" si="4"/>
        <v/>
      </c>
      <c r="F31" s="181"/>
      <c r="G31" s="155" t="str">
        <f t="shared" si="2"/>
        <v/>
      </c>
      <c r="H31" s="155" t="str">
        <f t="shared" si="3"/>
        <v/>
      </c>
    </row>
    <row r="32" spans="2:8" s="152" customFormat="1" ht="11.25" customHeight="1" x14ac:dyDescent="0.2">
      <c r="B32" s="175"/>
      <c r="C32" s="156"/>
      <c r="D32" s="155" t="str">
        <f t="shared" si="0"/>
        <v/>
      </c>
      <c r="E32" s="155"/>
      <c r="F32" s="181"/>
      <c r="G32" s="155" t="str">
        <f t="shared" si="2"/>
        <v/>
      </c>
      <c r="H32" s="155" t="str">
        <f t="shared" si="3"/>
        <v/>
      </c>
    </row>
    <row r="33" spans="1:8" s="152" customFormat="1" ht="11.25" customHeight="1" x14ac:dyDescent="0.2">
      <c r="B33" s="176"/>
      <c r="C33" s="156"/>
      <c r="D33" s="155" t="str">
        <f t="shared" si="0"/>
        <v/>
      </c>
      <c r="E33" s="155"/>
      <c r="F33" s="181"/>
      <c r="G33" s="155" t="str">
        <f t="shared" si="2"/>
        <v/>
      </c>
      <c r="H33" s="155" t="str">
        <f t="shared" si="3"/>
        <v/>
      </c>
    </row>
    <row r="34" spans="1:8" s="152" customFormat="1" ht="11.25" customHeight="1" x14ac:dyDescent="0.2">
      <c r="B34" s="176"/>
      <c r="C34" s="156"/>
      <c r="D34" s="155" t="str">
        <f t="shared" si="0"/>
        <v/>
      </c>
      <c r="E34" s="155"/>
      <c r="F34" s="181"/>
      <c r="G34" s="155" t="str">
        <f t="shared" si="2"/>
        <v/>
      </c>
      <c r="H34" s="155" t="str">
        <f t="shared" si="3"/>
        <v/>
      </c>
    </row>
    <row r="35" spans="1:8" s="152" customFormat="1" ht="11.25" customHeight="1" x14ac:dyDescent="0.2">
      <c r="B35" s="176"/>
      <c r="C35" s="156"/>
      <c r="D35" s="155" t="str">
        <f t="shared" si="0"/>
        <v/>
      </c>
      <c r="E35" s="155"/>
      <c r="F35" s="181"/>
      <c r="G35" s="155" t="str">
        <f t="shared" si="2"/>
        <v/>
      </c>
      <c r="H35" s="155" t="str">
        <f t="shared" si="3"/>
        <v/>
      </c>
    </row>
    <row r="36" spans="1:8" s="152" customFormat="1" ht="11.25" customHeight="1" x14ac:dyDescent="0.2">
      <c r="B36" s="176"/>
      <c r="C36" s="156"/>
      <c r="D36" s="155" t="str">
        <f t="shared" si="0"/>
        <v/>
      </c>
      <c r="E36" s="155" t="str">
        <f t="shared" ref="E36:E47" si="5">IF(C36=0,"",C36*D36)</f>
        <v/>
      </c>
      <c r="F36" s="181"/>
      <c r="G36" s="155" t="str">
        <f t="shared" si="2"/>
        <v/>
      </c>
      <c r="H36" s="155" t="str">
        <f t="shared" si="3"/>
        <v/>
      </c>
    </row>
    <row r="37" spans="1:8" s="152" customFormat="1" ht="11.25" customHeight="1" x14ac:dyDescent="0.2">
      <c r="B37" s="176"/>
      <c r="C37" s="156"/>
      <c r="D37" s="155" t="str">
        <f t="shared" si="0"/>
        <v/>
      </c>
      <c r="E37" s="155" t="str">
        <f t="shared" si="5"/>
        <v/>
      </c>
      <c r="F37" s="181"/>
      <c r="G37" s="155" t="str">
        <f t="shared" si="2"/>
        <v/>
      </c>
      <c r="H37" s="155" t="str">
        <f t="shared" si="3"/>
        <v/>
      </c>
    </row>
    <row r="38" spans="1:8" s="152" customFormat="1" ht="11.25" customHeight="1" x14ac:dyDescent="0.2">
      <c r="B38" s="176"/>
      <c r="C38" s="156"/>
      <c r="D38" s="155" t="str">
        <f t="shared" si="0"/>
        <v/>
      </c>
      <c r="E38" s="155" t="str">
        <f t="shared" si="5"/>
        <v/>
      </c>
      <c r="F38" s="181"/>
      <c r="G38" s="155" t="str">
        <f t="shared" si="2"/>
        <v/>
      </c>
      <c r="H38" s="155" t="str">
        <f t="shared" si="3"/>
        <v/>
      </c>
    </row>
    <row r="39" spans="1:8" s="152" customFormat="1" ht="11.25" customHeight="1" x14ac:dyDescent="0.2">
      <c r="B39" s="176"/>
      <c r="C39" s="156"/>
      <c r="D39" s="155" t="str">
        <f t="shared" si="0"/>
        <v/>
      </c>
      <c r="E39" s="155" t="str">
        <f t="shared" si="5"/>
        <v/>
      </c>
      <c r="F39" s="181"/>
      <c r="G39" s="155" t="str">
        <f t="shared" si="2"/>
        <v/>
      </c>
      <c r="H39" s="155" t="str">
        <f t="shared" si="3"/>
        <v/>
      </c>
    </row>
    <row r="40" spans="1:8" s="152" customFormat="1" ht="11.25" customHeight="1" x14ac:dyDescent="0.2">
      <c r="B40" s="176"/>
      <c r="C40" s="156"/>
      <c r="D40" s="155" t="str">
        <f t="shared" si="0"/>
        <v/>
      </c>
      <c r="E40" s="155" t="str">
        <f t="shared" si="5"/>
        <v/>
      </c>
      <c r="F40" s="181"/>
      <c r="G40" s="155" t="str">
        <f t="shared" si="2"/>
        <v/>
      </c>
      <c r="H40" s="155" t="str">
        <f t="shared" si="3"/>
        <v/>
      </c>
    </row>
    <row r="41" spans="1:8" s="152" customFormat="1" ht="11.25" customHeight="1" x14ac:dyDescent="0.2">
      <c r="B41" s="176"/>
      <c r="C41" s="156"/>
      <c r="D41" s="155" t="str">
        <f t="shared" si="0"/>
        <v/>
      </c>
      <c r="E41" s="155" t="str">
        <f t="shared" si="5"/>
        <v/>
      </c>
      <c r="F41" s="181"/>
      <c r="G41" s="155" t="str">
        <f t="shared" si="2"/>
        <v/>
      </c>
      <c r="H41" s="155" t="str">
        <f t="shared" si="3"/>
        <v/>
      </c>
    </row>
    <row r="42" spans="1:8" s="152" customFormat="1" ht="11.25" customHeight="1" x14ac:dyDescent="0.2">
      <c r="B42" s="176"/>
      <c r="C42" s="156"/>
      <c r="D42" s="155" t="str">
        <f t="shared" si="0"/>
        <v/>
      </c>
      <c r="E42" s="155" t="str">
        <f t="shared" si="5"/>
        <v/>
      </c>
      <c r="F42" s="181"/>
      <c r="G42" s="155" t="str">
        <f t="shared" si="2"/>
        <v/>
      </c>
      <c r="H42" s="155" t="str">
        <f t="shared" si="3"/>
        <v/>
      </c>
    </row>
    <row r="43" spans="1:8" s="152" customFormat="1" ht="11.25" customHeight="1" x14ac:dyDescent="0.2">
      <c r="B43" s="176"/>
      <c r="C43" s="156"/>
      <c r="D43" s="155" t="str">
        <f t="shared" si="0"/>
        <v/>
      </c>
      <c r="E43" s="155" t="str">
        <f t="shared" si="5"/>
        <v/>
      </c>
      <c r="F43" s="181"/>
      <c r="G43" s="155" t="str">
        <f t="shared" si="2"/>
        <v/>
      </c>
      <c r="H43" s="155" t="str">
        <f t="shared" si="3"/>
        <v/>
      </c>
    </row>
    <row r="44" spans="1:8" ht="11.25" customHeight="1" x14ac:dyDescent="0.2">
      <c r="B44" s="177"/>
      <c r="C44" s="128"/>
      <c r="D44" s="155" t="str">
        <f t="shared" si="0"/>
        <v/>
      </c>
      <c r="E44" s="136" t="str">
        <f t="shared" si="5"/>
        <v/>
      </c>
      <c r="F44" s="182"/>
      <c r="G44" s="155" t="str">
        <f t="shared" si="2"/>
        <v/>
      </c>
      <c r="H44" s="155" t="str">
        <f t="shared" si="3"/>
        <v/>
      </c>
    </row>
    <row r="45" spans="1:8" ht="11.25" customHeight="1" x14ac:dyDescent="0.2">
      <c r="B45" s="177"/>
      <c r="C45" s="128"/>
      <c r="D45" s="155" t="str">
        <f t="shared" si="0"/>
        <v/>
      </c>
      <c r="E45" s="136" t="str">
        <f t="shared" si="5"/>
        <v/>
      </c>
      <c r="F45" s="182"/>
      <c r="G45" s="155" t="str">
        <f t="shared" si="2"/>
        <v/>
      </c>
      <c r="H45" s="155" t="str">
        <f t="shared" si="3"/>
        <v/>
      </c>
    </row>
    <row r="46" spans="1:8" ht="11.25" customHeight="1" x14ac:dyDescent="0.2">
      <c r="B46" s="177"/>
      <c r="C46" s="128"/>
      <c r="D46" s="155" t="str">
        <f t="shared" si="0"/>
        <v/>
      </c>
      <c r="E46" s="136" t="str">
        <f t="shared" si="5"/>
        <v/>
      </c>
      <c r="F46" s="182"/>
      <c r="G46" s="155" t="str">
        <f t="shared" si="2"/>
        <v/>
      </c>
      <c r="H46" s="155" t="str">
        <f t="shared" si="3"/>
        <v/>
      </c>
    </row>
    <row r="47" spans="1:8" ht="12" customHeight="1" thickBot="1" x14ac:dyDescent="0.25">
      <c r="B47" s="178"/>
      <c r="C47" s="129"/>
      <c r="D47" s="155" t="str">
        <f t="shared" si="0"/>
        <v/>
      </c>
      <c r="E47" s="138" t="str">
        <f t="shared" si="5"/>
        <v/>
      </c>
      <c r="F47" s="183"/>
      <c r="G47" s="155" t="str">
        <f t="shared" si="2"/>
        <v/>
      </c>
      <c r="H47" s="155" t="str">
        <f t="shared" si="3"/>
        <v/>
      </c>
    </row>
    <row r="48" spans="1:8" ht="12.75" customHeight="1" thickBot="1" x14ac:dyDescent="0.25">
      <c r="A48" s="159"/>
      <c r="B48" s="141" t="s">
        <v>831</v>
      </c>
      <c r="C48" s="127"/>
      <c r="D48" s="142"/>
      <c r="E48" s="143">
        <f>SUM(E9:E47)</f>
        <v>23576.799999999999</v>
      </c>
      <c r="F48" s="133" t="s">
        <v>831</v>
      </c>
      <c r="G48" s="127"/>
      <c r="H48" s="137">
        <f>SUM(H9:H47)</f>
        <v>1206.9350000000002</v>
      </c>
    </row>
    <row r="49" spans="1:8" ht="12.75" customHeight="1" thickBot="1" x14ac:dyDescent="0.25">
      <c r="A49" s="159"/>
      <c r="B49" s="141" t="s">
        <v>832</v>
      </c>
      <c r="C49" s="127"/>
      <c r="D49" s="144"/>
      <c r="E49" s="137">
        <f>E48*10/100</f>
        <v>2357.6799999999998</v>
      </c>
      <c r="F49" s="145" t="s">
        <v>832</v>
      </c>
      <c r="G49" s="146"/>
      <c r="H49" s="137">
        <f>H48*10/100</f>
        <v>120.69350000000003</v>
      </c>
    </row>
    <row r="50" spans="1:8" ht="12.75" customHeight="1" thickBot="1" x14ac:dyDescent="0.25">
      <c r="A50" s="159"/>
      <c r="B50" s="149" t="s">
        <v>24</v>
      </c>
      <c r="C50" s="127"/>
      <c r="D50" s="144"/>
      <c r="E50" s="137">
        <f>E48+E49</f>
        <v>25934.48</v>
      </c>
      <c r="F50" s="133" t="s">
        <v>24</v>
      </c>
      <c r="G50" s="146"/>
      <c r="H50" s="137">
        <f>H48+H49</f>
        <v>1327.6285000000003</v>
      </c>
    </row>
    <row r="51" spans="1:8" ht="12.75" customHeight="1" thickBot="1" x14ac:dyDescent="0.25">
      <c r="B51" s="149" t="s">
        <v>10</v>
      </c>
      <c r="C51" s="127"/>
      <c r="D51" s="127"/>
      <c r="E51" s="168">
        <v>105</v>
      </c>
      <c r="F51" s="133" t="s">
        <v>10</v>
      </c>
      <c r="G51" s="127"/>
      <c r="H51" s="184">
        <v>104</v>
      </c>
    </row>
    <row r="52" spans="1:8" ht="12.75" customHeight="1" thickBot="1" x14ac:dyDescent="0.25">
      <c r="B52" s="150" t="s">
        <v>1261</v>
      </c>
      <c r="C52" s="127"/>
      <c r="D52" s="127"/>
      <c r="E52" s="137">
        <f>E50/E51</f>
        <v>246.99504761904763</v>
      </c>
      <c r="F52" s="133" t="s">
        <v>1261</v>
      </c>
      <c r="G52" s="127"/>
      <c r="H52" s="137">
        <f>H50/H51</f>
        <v>12.765658653846156</v>
      </c>
    </row>
    <row r="53" spans="1:8" ht="12" customHeight="1" thickBot="1" x14ac:dyDescent="0.25">
      <c r="B53" s="130" t="s">
        <v>15</v>
      </c>
      <c r="C53" s="221" t="s">
        <v>1826</v>
      </c>
      <c r="D53" s="222"/>
      <c r="E53" s="222"/>
      <c r="F53" s="222"/>
      <c r="G53" s="222"/>
      <c r="H53" s="223"/>
    </row>
    <row r="54" spans="1:8" ht="12" customHeight="1" thickBot="1" x14ac:dyDescent="0.25">
      <c r="B54" s="130" t="s">
        <v>16</v>
      </c>
      <c r="C54" s="224" t="s">
        <v>1828</v>
      </c>
      <c r="D54" s="225"/>
      <c r="E54" s="225"/>
      <c r="F54" s="225"/>
      <c r="G54" s="225"/>
      <c r="H54" s="226"/>
    </row>
    <row r="55" spans="1:8" ht="12" customHeight="1" thickBot="1" x14ac:dyDescent="0.25">
      <c r="B55" s="130" t="s">
        <v>17</v>
      </c>
      <c r="C55" s="224" t="s">
        <v>1818</v>
      </c>
      <c r="D55" s="225"/>
      <c r="E55" s="225"/>
      <c r="F55" s="225"/>
      <c r="G55" s="225"/>
      <c r="H55" s="226"/>
    </row>
    <row r="56" spans="1:8" ht="12" customHeight="1" thickBot="1" x14ac:dyDescent="0.25">
      <c r="B56" s="130" t="s">
        <v>18</v>
      </c>
      <c r="C56" s="224" t="s">
        <v>1819</v>
      </c>
      <c r="D56" s="225"/>
      <c r="E56" s="225"/>
      <c r="F56" s="225"/>
      <c r="G56" s="225"/>
      <c r="H56" s="226"/>
    </row>
    <row r="57" spans="1:8" ht="12" customHeight="1" thickBot="1" x14ac:dyDescent="0.25">
      <c r="B57" s="130" t="s">
        <v>49</v>
      </c>
      <c r="C57" s="224" t="s">
        <v>1827</v>
      </c>
      <c r="D57" s="225"/>
      <c r="E57" s="225"/>
      <c r="F57" s="225"/>
      <c r="G57" s="225"/>
      <c r="H57" s="226"/>
    </row>
    <row r="58" spans="1:8" ht="12" customHeight="1" thickBot="1" x14ac:dyDescent="0.25">
      <c r="B58" s="130" t="s">
        <v>51</v>
      </c>
      <c r="C58" s="224" t="s">
        <v>1829</v>
      </c>
      <c r="D58" s="225"/>
      <c r="E58" s="225"/>
      <c r="F58" s="225"/>
      <c r="G58" s="225"/>
      <c r="H58" s="226"/>
    </row>
    <row r="59" spans="1:8" ht="12" customHeight="1" thickBot="1" x14ac:dyDescent="0.25">
      <c r="B59" s="130" t="s">
        <v>47</v>
      </c>
      <c r="C59" s="224" t="s">
        <v>1830</v>
      </c>
      <c r="D59" s="225"/>
      <c r="E59" s="225"/>
      <c r="F59" s="225"/>
      <c r="G59" s="225"/>
      <c r="H59" s="226"/>
    </row>
    <row r="60" spans="1:8" ht="12" customHeight="1" thickBot="1" x14ac:dyDescent="0.25">
      <c r="B60" s="130" t="s">
        <v>50</v>
      </c>
      <c r="C60" s="224"/>
      <c r="D60" s="225"/>
      <c r="E60" s="225"/>
      <c r="F60" s="225"/>
      <c r="G60" s="225"/>
      <c r="H60" s="226"/>
    </row>
    <row r="61" spans="1:8" ht="12" customHeight="1" thickBot="1" x14ac:dyDescent="0.25">
      <c r="C61" s="209"/>
      <c r="D61" s="210"/>
      <c r="E61" s="210"/>
      <c r="F61" s="210"/>
      <c r="G61" s="210"/>
      <c r="H61" s="211"/>
    </row>
    <row r="62" spans="1:8" ht="21.75" customHeight="1" thickBot="1" x14ac:dyDescent="0.4">
      <c r="B62" s="212" t="s">
        <v>43</v>
      </c>
      <c r="C62" s="213"/>
      <c r="D62" s="213"/>
      <c r="E62" s="213"/>
      <c r="F62" s="213"/>
      <c r="G62" s="213"/>
      <c r="H62" s="214"/>
    </row>
    <row r="63" spans="1:8" ht="12" customHeight="1" thickBot="1" x14ac:dyDescent="0.25">
      <c r="B63" s="215" t="s">
        <v>12</v>
      </c>
      <c r="C63" s="216"/>
      <c r="D63" s="216"/>
      <c r="E63" s="217"/>
      <c r="F63" s="218" t="s">
        <v>13</v>
      </c>
      <c r="G63" s="219"/>
      <c r="H63" s="220"/>
    </row>
    <row r="64" spans="1:8" ht="12" customHeight="1" thickBot="1" x14ac:dyDescent="0.25">
      <c r="B64" s="131" t="s">
        <v>19</v>
      </c>
      <c r="C64" s="131" t="s">
        <v>20</v>
      </c>
      <c r="D64" s="131" t="s">
        <v>21</v>
      </c>
      <c r="E64" s="131" t="s">
        <v>22</v>
      </c>
      <c r="F64" s="134" t="s">
        <v>20</v>
      </c>
      <c r="G64" s="134" t="s">
        <v>21</v>
      </c>
      <c r="H64" s="134" t="s">
        <v>22</v>
      </c>
    </row>
    <row r="65" spans="2:8" s="152" customFormat="1" ht="11.25" customHeight="1" x14ac:dyDescent="0.2">
      <c r="B65" s="175" t="s">
        <v>1765</v>
      </c>
      <c r="C65" s="153">
        <v>10000</v>
      </c>
      <c r="D65" s="154">
        <f t="shared" ref="D65:D105" si="6">IF(B65="","",VLOOKUP(B65,INVENTARIO,2))</f>
        <v>2.7E-2</v>
      </c>
      <c r="E65" s="154">
        <f>IF(C65=0,"",C65*D65)</f>
        <v>270</v>
      </c>
      <c r="F65" s="185">
        <v>6500</v>
      </c>
      <c r="G65" s="154">
        <f>D65</f>
        <v>2.7E-2</v>
      </c>
      <c r="H65" s="155">
        <f>IF(F65=0,"",F65*G65)</f>
        <v>175.5</v>
      </c>
    </row>
    <row r="66" spans="2:8" s="152" customFormat="1" ht="11.25" customHeight="1" x14ac:dyDescent="0.2">
      <c r="B66" s="176" t="s">
        <v>1794</v>
      </c>
      <c r="C66" s="156">
        <v>13000</v>
      </c>
      <c r="D66" s="155">
        <f t="shared" si="6"/>
        <v>0</v>
      </c>
      <c r="E66" s="155">
        <f t="shared" ref="E66:E105" si="7">IF(C66=0,"",C66*D66)</f>
        <v>0</v>
      </c>
      <c r="F66" s="181">
        <v>9500</v>
      </c>
      <c r="G66" s="155">
        <f t="shared" ref="G66:G105" si="8">D66</f>
        <v>0</v>
      </c>
      <c r="H66" s="155">
        <f t="shared" ref="H66:H105" si="9">IF(F66=0,"",F66*G66)</f>
        <v>0</v>
      </c>
    </row>
    <row r="67" spans="2:8" s="152" customFormat="1" ht="11.25" customHeight="1" x14ac:dyDescent="0.2">
      <c r="B67" s="176" t="s">
        <v>1771</v>
      </c>
      <c r="C67" s="156">
        <v>2000</v>
      </c>
      <c r="D67" s="155">
        <f t="shared" si="6"/>
        <v>0</v>
      </c>
      <c r="E67" s="155">
        <f t="shared" si="7"/>
        <v>0</v>
      </c>
      <c r="F67" s="181">
        <v>5000</v>
      </c>
      <c r="G67" s="155">
        <f t="shared" si="8"/>
        <v>0</v>
      </c>
      <c r="H67" s="155">
        <f t="shared" si="9"/>
        <v>0</v>
      </c>
    </row>
    <row r="68" spans="2:8" s="152" customFormat="1" ht="11.25" customHeight="1" x14ac:dyDescent="0.2">
      <c r="B68" s="176" t="s">
        <v>1772</v>
      </c>
      <c r="C68" s="156">
        <v>20000</v>
      </c>
      <c r="D68" s="155">
        <f t="shared" si="6"/>
        <v>0</v>
      </c>
      <c r="E68" s="155">
        <f t="shared" si="7"/>
        <v>0</v>
      </c>
      <c r="F68" s="181">
        <v>3000</v>
      </c>
      <c r="G68" s="155">
        <f t="shared" si="8"/>
        <v>0</v>
      </c>
      <c r="H68" s="155">
        <f t="shared" si="9"/>
        <v>0</v>
      </c>
    </row>
    <row r="69" spans="2:8" s="152" customFormat="1" ht="11.25" customHeight="1" x14ac:dyDescent="0.2">
      <c r="B69" s="176" t="s">
        <v>1702</v>
      </c>
      <c r="C69" s="156"/>
      <c r="D69" s="155">
        <f t="shared" si="6"/>
        <v>1.4999999999999999E-2</v>
      </c>
      <c r="E69" s="155" t="str">
        <f t="shared" si="7"/>
        <v/>
      </c>
      <c r="F69" s="181">
        <v>6500</v>
      </c>
      <c r="G69" s="155">
        <f t="shared" si="8"/>
        <v>1.4999999999999999E-2</v>
      </c>
      <c r="H69" s="155">
        <f t="shared" si="9"/>
        <v>97.5</v>
      </c>
    </row>
    <row r="70" spans="2:8" s="152" customFormat="1" ht="11.25" customHeight="1" x14ac:dyDescent="0.2">
      <c r="B70" s="176" t="s">
        <v>1776</v>
      </c>
      <c r="C70" s="156">
        <v>15</v>
      </c>
      <c r="D70" s="155">
        <f t="shared" si="6"/>
        <v>7.0000000000000001E-3</v>
      </c>
      <c r="E70" s="155">
        <f t="shared" si="7"/>
        <v>0.105</v>
      </c>
      <c r="F70" s="181">
        <v>3500</v>
      </c>
      <c r="G70" s="155">
        <f t="shared" si="8"/>
        <v>7.0000000000000001E-3</v>
      </c>
      <c r="H70" s="155">
        <f t="shared" si="9"/>
        <v>24.5</v>
      </c>
    </row>
    <row r="71" spans="2:8" s="152" customFormat="1" ht="11.25" customHeight="1" x14ac:dyDescent="0.2">
      <c r="B71" s="176" t="s">
        <v>1808</v>
      </c>
      <c r="C71" s="156">
        <v>5000</v>
      </c>
      <c r="D71" s="155">
        <f t="shared" si="6"/>
        <v>1.4999999999999999E-2</v>
      </c>
      <c r="E71" s="155">
        <f t="shared" si="7"/>
        <v>75</v>
      </c>
      <c r="F71" s="181">
        <v>1000</v>
      </c>
      <c r="G71" s="155">
        <f t="shared" si="8"/>
        <v>1.4999999999999999E-2</v>
      </c>
      <c r="H71" s="155">
        <f t="shared" si="9"/>
        <v>15</v>
      </c>
    </row>
    <row r="72" spans="2:8" s="152" customFormat="1" ht="11.25" customHeight="1" x14ac:dyDescent="0.2">
      <c r="B72" s="176" t="s">
        <v>1704</v>
      </c>
      <c r="C72" s="156">
        <v>5000</v>
      </c>
      <c r="D72" s="155">
        <f t="shared" si="6"/>
        <v>8.0000000000000002E-3</v>
      </c>
      <c r="E72" s="155">
        <f t="shared" si="7"/>
        <v>40</v>
      </c>
      <c r="F72" s="181">
        <v>10000</v>
      </c>
      <c r="G72" s="155">
        <f t="shared" si="8"/>
        <v>8.0000000000000002E-3</v>
      </c>
      <c r="H72" s="155">
        <f t="shared" si="9"/>
        <v>80</v>
      </c>
    </row>
    <row r="73" spans="2:8" s="152" customFormat="1" ht="11.25" customHeight="1" x14ac:dyDescent="0.2">
      <c r="B73" s="176" t="s">
        <v>1698</v>
      </c>
      <c r="C73" s="156">
        <v>200</v>
      </c>
      <c r="D73" s="155">
        <f t="shared" si="6"/>
        <v>1.4E-2</v>
      </c>
      <c r="E73" s="155">
        <f t="shared" si="7"/>
        <v>2.8000000000000003</v>
      </c>
      <c r="F73" s="181">
        <v>2500</v>
      </c>
      <c r="G73" s="155">
        <f t="shared" si="8"/>
        <v>1.4E-2</v>
      </c>
      <c r="H73" s="155">
        <f t="shared" si="9"/>
        <v>35</v>
      </c>
    </row>
    <row r="74" spans="2:8" s="152" customFormat="1" ht="11.25" customHeight="1" x14ac:dyDescent="0.2">
      <c r="B74" s="176" t="s">
        <v>1745</v>
      </c>
      <c r="C74" s="156">
        <v>5000</v>
      </c>
      <c r="D74" s="155">
        <f t="shared" si="6"/>
        <v>0.01</v>
      </c>
      <c r="E74" s="155">
        <f t="shared" si="7"/>
        <v>50</v>
      </c>
      <c r="F74" s="181">
        <v>3000</v>
      </c>
      <c r="G74" s="155">
        <f t="shared" si="8"/>
        <v>0.01</v>
      </c>
      <c r="H74" s="155">
        <f t="shared" si="9"/>
        <v>30</v>
      </c>
    </row>
    <row r="75" spans="2:8" s="152" customFormat="1" ht="11.25" customHeight="1" x14ac:dyDescent="0.2">
      <c r="B75" s="176" t="s">
        <v>1766</v>
      </c>
      <c r="C75" s="156">
        <v>1000</v>
      </c>
      <c r="D75" s="155">
        <f t="shared" si="6"/>
        <v>6.0000000000000001E-3</v>
      </c>
      <c r="E75" s="155">
        <f t="shared" si="7"/>
        <v>6</v>
      </c>
      <c r="F75" s="181">
        <v>1000</v>
      </c>
      <c r="G75" s="155">
        <f t="shared" si="8"/>
        <v>6.0000000000000001E-3</v>
      </c>
      <c r="H75" s="155">
        <f t="shared" si="9"/>
        <v>6</v>
      </c>
    </row>
    <row r="76" spans="2:8" s="152" customFormat="1" ht="11.25" customHeight="1" x14ac:dyDescent="0.2">
      <c r="B76" s="176" t="s">
        <v>1809</v>
      </c>
      <c r="C76" s="156">
        <v>2000</v>
      </c>
      <c r="D76" s="155">
        <f t="shared" si="6"/>
        <v>2.232E-2</v>
      </c>
      <c r="E76" s="155">
        <f t="shared" si="7"/>
        <v>44.64</v>
      </c>
      <c r="F76" s="181">
        <v>400</v>
      </c>
      <c r="G76" s="155">
        <f t="shared" si="8"/>
        <v>2.232E-2</v>
      </c>
      <c r="H76" s="155">
        <f t="shared" si="9"/>
        <v>8.927999999999999</v>
      </c>
    </row>
    <row r="77" spans="2:8" s="152" customFormat="1" ht="11.25" customHeight="1" x14ac:dyDescent="0.2">
      <c r="B77" s="176" t="s">
        <v>1708</v>
      </c>
      <c r="C77" s="156">
        <v>1000</v>
      </c>
      <c r="D77" s="155">
        <f t="shared" si="6"/>
        <v>6.3829999999999998E-2</v>
      </c>
      <c r="E77" s="155">
        <f t="shared" si="7"/>
        <v>63.83</v>
      </c>
      <c r="F77" s="181">
        <v>600</v>
      </c>
      <c r="G77" s="155">
        <f t="shared" si="8"/>
        <v>6.3829999999999998E-2</v>
      </c>
      <c r="H77" s="155">
        <f t="shared" si="9"/>
        <v>38.298000000000002</v>
      </c>
    </row>
    <row r="78" spans="2:8" s="152" customFormat="1" ht="11.25" customHeight="1" x14ac:dyDescent="0.2">
      <c r="B78" s="176" t="s">
        <v>1789</v>
      </c>
      <c r="C78" s="156">
        <v>1000</v>
      </c>
      <c r="D78" s="155">
        <f t="shared" si="6"/>
        <v>4.2143333333333338E-2</v>
      </c>
      <c r="E78" s="155">
        <f t="shared" si="7"/>
        <v>42.143333333333338</v>
      </c>
      <c r="F78" s="181">
        <v>300</v>
      </c>
      <c r="G78" s="155">
        <f t="shared" si="8"/>
        <v>4.2143333333333338E-2</v>
      </c>
      <c r="H78" s="155">
        <f t="shared" si="9"/>
        <v>12.643000000000001</v>
      </c>
    </row>
    <row r="79" spans="2:8" s="152" customFormat="1" ht="11.25" customHeight="1" x14ac:dyDescent="0.2">
      <c r="B79" s="176" t="s">
        <v>1775</v>
      </c>
      <c r="C79" s="156">
        <v>2000</v>
      </c>
      <c r="D79" s="155">
        <f t="shared" si="6"/>
        <v>4.5411764705882353E-2</v>
      </c>
      <c r="E79" s="155">
        <f t="shared" si="7"/>
        <v>90.82352941176471</v>
      </c>
      <c r="F79" s="181">
        <v>330</v>
      </c>
      <c r="G79" s="155">
        <f t="shared" si="8"/>
        <v>4.5411764705882353E-2</v>
      </c>
      <c r="H79" s="155">
        <f t="shared" si="9"/>
        <v>14.985882352941177</v>
      </c>
    </row>
    <row r="80" spans="2:8" s="152" customFormat="1" x14ac:dyDescent="0.2">
      <c r="B80" s="176" t="s">
        <v>1774</v>
      </c>
      <c r="C80" s="156">
        <v>300</v>
      </c>
      <c r="D80" s="155">
        <f t="shared" si="6"/>
        <v>6.2057142857142852E-2</v>
      </c>
      <c r="E80" s="155">
        <f t="shared" si="7"/>
        <v>18.617142857142856</v>
      </c>
      <c r="F80" s="181">
        <v>330</v>
      </c>
      <c r="G80" s="155">
        <f t="shared" si="8"/>
        <v>6.2057142857142852E-2</v>
      </c>
      <c r="H80" s="155">
        <f t="shared" si="9"/>
        <v>20.478857142857141</v>
      </c>
    </row>
    <row r="81" spans="2:8" s="152" customFormat="1" ht="11.25" customHeight="1" x14ac:dyDescent="0.2">
      <c r="B81" s="176" t="s">
        <v>1709</v>
      </c>
      <c r="C81" s="156">
        <v>600</v>
      </c>
      <c r="D81" s="155">
        <f t="shared" si="6"/>
        <v>4.28E-3</v>
      </c>
      <c r="E81" s="155">
        <f t="shared" si="7"/>
        <v>2.5680000000000001</v>
      </c>
      <c r="F81" s="181">
        <v>3000</v>
      </c>
      <c r="G81" s="155">
        <f t="shared" si="8"/>
        <v>4.28E-3</v>
      </c>
      <c r="H81" s="155">
        <f t="shared" si="9"/>
        <v>12.84</v>
      </c>
    </row>
    <row r="82" spans="2:8" s="152" customFormat="1" ht="11.25" customHeight="1" x14ac:dyDescent="0.2">
      <c r="B82" s="176" t="s">
        <v>1786</v>
      </c>
      <c r="C82" s="156">
        <v>1000</v>
      </c>
      <c r="D82" s="155">
        <f t="shared" si="6"/>
        <v>1.051E-2</v>
      </c>
      <c r="E82" s="155">
        <f t="shared" si="7"/>
        <v>10.51</v>
      </c>
      <c r="F82" s="181">
        <v>2000</v>
      </c>
      <c r="G82" s="155">
        <f t="shared" si="8"/>
        <v>1.051E-2</v>
      </c>
      <c r="H82" s="155">
        <f t="shared" si="9"/>
        <v>21.02</v>
      </c>
    </row>
    <row r="83" spans="2:8" s="152" customFormat="1" ht="11.25" customHeight="1" x14ac:dyDescent="0.2">
      <c r="B83" s="176" t="s">
        <v>1752</v>
      </c>
      <c r="C83" s="156">
        <v>2000</v>
      </c>
      <c r="D83" s="155">
        <f t="shared" si="6"/>
        <v>6.7033333333333331</v>
      </c>
      <c r="E83" s="155">
        <f t="shared" si="7"/>
        <v>13406.666666666666</v>
      </c>
      <c r="F83" s="181">
        <v>10</v>
      </c>
      <c r="G83" s="155">
        <f t="shared" si="8"/>
        <v>6.7033333333333331</v>
      </c>
      <c r="H83" s="155">
        <f t="shared" si="9"/>
        <v>67.033333333333331</v>
      </c>
    </row>
    <row r="84" spans="2:8" s="152" customFormat="1" ht="11.25" customHeight="1" x14ac:dyDescent="0.2">
      <c r="B84" s="176" t="s">
        <v>1769</v>
      </c>
      <c r="C84" s="156">
        <v>2000</v>
      </c>
      <c r="D84" s="155">
        <f t="shared" si="6"/>
        <v>1.0666666666666666E-2</v>
      </c>
      <c r="E84" s="155">
        <f t="shared" si="7"/>
        <v>21.333333333333332</v>
      </c>
      <c r="F84" s="181">
        <v>1000</v>
      </c>
      <c r="G84" s="155">
        <f t="shared" si="8"/>
        <v>1.0666666666666666E-2</v>
      </c>
      <c r="H84" s="155">
        <f t="shared" si="9"/>
        <v>10.666666666666666</v>
      </c>
    </row>
    <row r="85" spans="2:8" s="152" customFormat="1" ht="11.25" customHeight="1" x14ac:dyDescent="0.2">
      <c r="B85" s="176" t="s">
        <v>1710</v>
      </c>
      <c r="C85" s="156"/>
      <c r="D85" s="155">
        <f t="shared" si="6"/>
        <v>1.2538271604938271E-2</v>
      </c>
      <c r="E85" s="155" t="str">
        <f t="shared" si="7"/>
        <v/>
      </c>
      <c r="F85" s="181">
        <v>500</v>
      </c>
      <c r="G85" s="155">
        <f t="shared" si="8"/>
        <v>1.2538271604938271E-2</v>
      </c>
      <c r="H85" s="155">
        <f t="shared" si="9"/>
        <v>6.2691358024691359</v>
      </c>
    </row>
    <row r="86" spans="2:8" s="152" customFormat="1" ht="11.25" customHeight="1" x14ac:dyDescent="0.2">
      <c r="B86" s="176"/>
      <c r="C86" s="156"/>
      <c r="D86" s="155" t="str">
        <f t="shared" si="6"/>
        <v/>
      </c>
      <c r="E86" s="155" t="str">
        <f t="shared" si="7"/>
        <v/>
      </c>
      <c r="F86" s="181"/>
      <c r="G86" s="155" t="str">
        <f t="shared" si="8"/>
        <v/>
      </c>
      <c r="H86" s="155" t="str">
        <f t="shared" si="9"/>
        <v/>
      </c>
    </row>
    <row r="87" spans="2:8" s="152" customFormat="1" ht="11.25" customHeight="1" x14ac:dyDescent="0.2">
      <c r="B87" s="176"/>
      <c r="C87" s="156"/>
      <c r="D87" s="155" t="str">
        <f t="shared" si="6"/>
        <v/>
      </c>
      <c r="E87" s="155" t="str">
        <f t="shared" si="7"/>
        <v/>
      </c>
      <c r="F87" s="181"/>
      <c r="G87" s="155" t="str">
        <f t="shared" si="8"/>
        <v/>
      </c>
      <c r="H87" s="155" t="str">
        <f t="shared" si="9"/>
        <v/>
      </c>
    </row>
    <row r="88" spans="2:8" s="152" customFormat="1" ht="11.25" customHeight="1" x14ac:dyDescent="0.2">
      <c r="B88" s="176"/>
      <c r="C88" s="156"/>
      <c r="D88" s="155" t="str">
        <f t="shared" si="6"/>
        <v/>
      </c>
      <c r="E88" s="155" t="str">
        <f t="shared" si="7"/>
        <v/>
      </c>
      <c r="F88" s="181"/>
      <c r="G88" s="155" t="str">
        <f t="shared" si="8"/>
        <v/>
      </c>
      <c r="H88" s="155" t="str">
        <f t="shared" si="9"/>
        <v/>
      </c>
    </row>
    <row r="89" spans="2:8" s="152" customFormat="1" ht="11.25" customHeight="1" x14ac:dyDescent="0.2">
      <c r="B89" s="176"/>
      <c r="C89" s="156"/>
      <c r="D89" s="155" t="str">
        <f t="shared" si="6"/>
        <v/>
      </c>
      <c r="E89" s="155" t="str">
        <f t="shared" si="7"/>
        <v/>
      </c>
      <c r="F89" s="181"/>
      <c r="G89" s="155" t="str">
        <f t="shared" si="8"/>
        <v/>
      </c>
      <c r="H89" s="155" t="str">
        <f t="shared" si="9"/>
        <v/>
      </c>
    </row>
    <row r="90" spans="2:8" s="152" customFormat="1" ht="11.25" customHeight="1" x14ac:dyDescent="0.2">
      <c r="B90" s="176"/>
      <c r="C90" s="156"/>
      <c r="D90" s="155" t="str">
        <f t="shared" si="6"/>
        <v/>
      </c>
      <c r="E90" s="155" t="str">
        <f t="shared" si="7"/>
        <v/>
      </c>
      <c r="F90" s="181"/>
      <c r="G90" s="155" t="str">
        <f t="shared" si="8"/>
        <v/>
      </c>
      <c r="H90" s="155" t="str">
        <f t="shared" si="9"/>
        <v/>
      </c>
    </row>
    <row r="91" spans="2:8" s="152" customFormat="1" ht="11.25" customHeight="1" x14ac:dyDescent="0.2">
      <c r="B91" s="176"/>
      <c r="C91" s="156"/>
      <c r="D91" s="155" t="str">
        <f t="shared" si="6"/>
        <v/>
      </c>
      <c r="E91" s="155" t="str">
        <f t="shared" si="7"/>
        <v/>
      </c>
      <c r="F91" s="181"/>
      <c r="G91" s="155" t="str">
        <f t="shared" si="8"/>
        <v/>
      </c>
      <c r="H91" s="155" t="str">
        <f t="shared" si="9"/>
        <v/>
      </c>
    </row>
    <row r="92" spans="2:8" s="152" customFormat="1" ht="11.25" customHeight="1" x14ac:dyDescent="0.2">
      <c r="B92" s="176"/>
      <c r="C92" s="156"/>
      <c r="D92" s="155" t="str">
        <f t="shared" si="6"/>
        <v/>
      </c>
      <c r="E92" s="155" t="str">
        <f t="shared" si="7"/>
        <v/>
      </c>
      <c r="F92" s="181"/>
      <c r="G92" s="155" t="str">
        <f t="shared" si="8"/>
        <v/>
      </c>
      <c r="H92" s="155" t="str">
        <f t="shared" si="9"/>
        <v/>
      </c>
    </row>
    <row r="93" spans="2:8" s="152" customFormat="1" ht="11.25" customHeight="1" x14ac:dyDescent="0.2">
      <c r="B93" s="176"/>
      <c r="C93" s="156"/>
      <c r="D93" s="155" t="str">
        <f t="shared" si="6"/>
        <v/>
      </c>
      <c r="E93" s="155" t="str">
        <f t="shared" si="7"/>
        <v/>
      </c>
      <c r="F93" s="181"/>
      <c r="G93" s="155" t="str">
        <f t="shared" si="8"/>
        <v/>
      </c>
      <c r="H93" s="155" t="str">
        <f t="shared" si="9"/>
        <v/>
      </c>
    </row>
    <row r="94" spans="2:8" s="152" customFormat="1" ht="11.25" customHeight="1" x14ac:dyDescent="0.2">
      <c r="B94" s="176"/>
      <c r="C94" s="156"/>
      <c r="D94" s="155" t="str">
        <f t="shared" si="6"/>
        <v/>
      </c>
      <c r="E94" s="155" t="str">
        <f t="shared" si="7"/>
        <v/>
      </c>
      <c r="F94" s="181"/>
      <c r="G94" s="155" t="str">
        <f t="shared" si="8"/>
        <v/>
      </c>
      <c r="H94" s="155" t="str">
        <f t="shared" si="9"/>
        <v/>
      </c>
    </row>
    <row r="95" spans="2:8" s="152" customFormat="1" ht="11.25" customHeight="1" x14ac:dyDescent="0.2">
      <c r="B95" s="176"/>
      <c r="C95" s="156"/>
      <c r="D95" s="155" t="str">
        <f t="shared" si="6"/>
        <v/>
      </c>
      <c r="E95" s="155" t="str">
        <f t="shared" si="7"/>
        <v/>
      </c>
      <c r="F95" s="181"/>
      <c r="G95" s="155" t="str">
        <f t="shared" si="8"/>
        <v/>
      </c>
      <c r="H95" s="155" t="str">
        <f t="shared" si="9"/>
        <v/>
      </c>
    </row>
    <row r="96" spans="2:8" s="152" customFormat="1" ht="11.25" customHeight="1" x14ac:dyDescent="0.2">
      <c r="B96" s="176"/>
      <c r="C96" s="156"/>
      <c r="D96" s="155" t="str">
        <f t="shared" si="6"/>
        <v/>
      </c>
      <c r="E96" s="155" t="str">
        <f t="shared" si="7"/>
        <v/>
      </c>
      <c r="F96" s="181"/>
      <c r="G96" s="155" t="str">
        <f t="shared" si="8"/>
        <v/>
      </c>
      <c r="H96" s="155" t="str">
        <f t="shared" si="9"/>
        <v/>
      </c>
    </row>
    <row r="97" spans="1:8" s="152" customFormat="1" ht="11.25" customHeight="1" x14ac:dyDescent="0.2">
      <c r="B97" s="176"/>
      <c r="C97" s="156"/>
      <c r="D97" s="155" t="str">
        <f t="shared" si="6"/>
        <v/>
      </c>
      <c r="E97" s="155" t="str">
        <f t="shared" si="7"/>
        <v/>
      </c>
      <c r="F97" s="181"/>
      <c r="G97" s="155" t="str">
        <f t="shared" si="8"/>
        <v/>
      </c>
      <c r="H97" s="155" t="str">
        <f t="shared" si="9"/>
        <v/>
      </c>
    </row>
    <row r="98" spans="1:8" s="152" customFormat="1" ht="11.25" customHeight="1" x14ac:dyDescent="0.2">
      <c r="B98" s="176"/>
      <c r="C98" s="156"/>
      <c r="D98" s="155" t="str">
        <f t="shared" si="6"/>
        <v/>
      </c>
      <c r="E98" s="155" t="str">
        <f t="shared" si="7"/>
        <v/>
      </c>
      <c r="F98" s="181"/>
      <c r="G98" s="155" t="str">
        <f t="shared" si="8"/>
        <v/>
      </c>
      <c r="H98" s="155" t="str">
        <f t="shared" si="9"/>
        <v/>
      </c>
    </row>
    <row r="99" spans="1:8" s="152" customFormat="1" ht="11.25" customHeight="1" x14ac:dyDescent="0.2">
      <c r="B99" s="176"/>
      <c r="C99" s="156"/>
      <c r="D99" s="155" t="str">
        <f t="shared" si="6"/>
        <v/>
      </c>
      <c r="E99" s="155" t="str">
        <f t="shared" si="7"/>
        <v/>
      </c>
      <c r="F99" s="181"/>
      <c r="G99" s="155" t="str">
        <f t="shared" si="8"/>
        <v/>
      </c>
      <c r="H99" s="155" t="str">
        <f t="shared" si="9"/>
        <v/>
      </c>
    </row>
    <row r="100" spans="1:8" ht="11.25" customHeight="1" x14ac:dyDescent="0.2">
      <c r="B100" s="177"/>
      <c r="C100" s="128"/>
      <c r="D100" s="136" t="str">
        <f t="shared" si="6"/>
        <v/>
      </c>
      <c r="E100" s="136" t="str">
        <f t="shared" si="7"/>
        <v/>
      </c>
      <c r="F100" s="182"/>
      <c r="G100" s="136" t="str">
        <f t="shared" si="8"/>
        <v/>
      </c>
      <c r="H100" s="136" t="str">
        <f t="shared" si="9"/>
        <v/>
      </c>
    </row>
    <row r="101" spans="1:8" ht="11.25" customHeight="1" x14ac:dyDescent="0.2">
      <c r="B101" s="177"/>
      <c r="C101" s="128"/>
      <c r="D101" s="136" t="str">
        <f t="shared" si="6"/>
        <v/>
      </c>
      <c r="E101" s="136" t="str">
        <f t="shared" si="7"/>
        <v/>
      </c>
      <c r="F101" s="182"/>
      <c r="G101" s="136" t="str">
        <f t="shared" si="8"/>
        <v/>
      </c>
      <c r="H101" s="136" t="str">
        <f t="shared" si="9"/>
        <v/>
      </c>
    </row>
    <row r="102" spans="1:8" ht="11.25" customHeight="1" x14ac:dyDescent="0.2">
      <c r="B102" s="177"/>
      <c r="C102" s="128"/>
      <c r="D102" s="136" t="str">
        <f t="shared" si="6"/>
        <v/>
      </c>
      <c r="E102" s="136" t="str">
        <f t="shared" si="7"/>
        <v/>
      </c>
      <c r="F102" s="182"/>
      <c r="G102" s="136" t="str">
        <f t="shared" si="8"/>
        <v/>
      </c>
      <c r="H102" s="136" t="str">
        <f t="shared" si="9"/>
        <v/>
      </c>
    </row>
    <row r="103" spans="1:8" ht="11.25" customHeight="1" x14ac:dyDescent="0.2">
      <c r="B103" s="177"/>
      <c r="C103" s="128"/>
      <c r="D103" s="136" t="str">
        <f t="shared" si="6"/>
        <v/>
      </c>
      <c r="E103" s="136" t="str">
        <f t="shared" si="7"/>
        <v/>
      </c>
      <c r="F103" s="186"/>
      <c r="G103" s="136" t="str">
        <f t="shared" si="8"/>
        <v/>
      </c>
      <c r="H103" s="136"/>
    </row>
    <row r="104" spans="1:8" ht="11.25" customHeight="1" x14ac:dyDescent="0.2">
      <c r="B104" s="177"/>
      <c r="C104" s="128"/>
      <c r="D104" s="136" t="str">
        <f t="shared" si="6"/>
        <v/>
      </c>
      <c r="E104" s="136" t="str">
        <f t="shared" si="7"/>
        <v/>
      </c>
      <c r="F104" s="186"/>
      <c r="G104" s="136" t="str">
        <f t="shared" si="8"/>
        <v/>
      </c>
      <c r="H104" s="136"/>
    </row>
    <row r="105" spans="1:8" ht="12" customHeight="1" thickBot="1" x14ac:dyDescent="0.25">
      <c r="B105" s="178"/>
      <c r="C105" s="129"/>
      <c r="D105" s="138" t="str">
        <f t="shared" si="6"/>
        <v/>
      </c>
      <c r="E105" s="148" t="str">
        <f t="shared" si="7"/>
        <v/>
      </c>
      <c r="F105" s="183"/>
      <c r="G105" s="138" t="str">
        <f t="shared" si="8"/>
        <v/>
      </c>
      <c r="H105" s="136" t="str">
        <f t="shared" si="9"/>
        <v/>
      </c>
    </row>
    <row r="106" spans="1:8" ht="12.75" customHeight="1" thickBot="1" x14ac:dyDescent="0.25">
      <c r="A106" s="159"/>
      <c r="B106" s="141" t="s">
        <v>831</v>
      </c>
      <c r="C106" s="127"/>
      <c r="D106" s="164"/>
      <c r="E106" s="135">
        <f>SUM(E65:E105)</f>
        <v>14145.03700560224</v>
      </c>
      <c r="F106" s="162" t="s">
        <v>831</v>
      </c>
      <c r="G106" s="127"/>
      <c r="H106" s="137">
        <f>SUM(H65:H105)</f>
        <v>676.66287529826741</v>
      </c>
    </row>
    <row r="107" spans="1:8" ht="12.75" customHeight="1" thickBot="1" x14ac:dyDescent="0.25">
      <c r="A107" s="159"/>
      <c r="B107" s="141" t="s">
        <v>832</v>
      </c>
      <c r="C107" s="127"/>
      <c r="D107" s="127"/>
      <c r="E107" s="136">
        <f>E106*10/100</f>
        <v>1414.5037005602239</v>
      </c>
      <c r="F107" s="165" t="s">
        <v>832</v>
      </c>
      <c r="G107" s="146"/>
      <c r="H107" s="137">
        <f>H106*10/100</f>
        <v>67.666287529826747</v>
      </c>
    </row>
    <row r="108" spans="1:8" ht="12.75" customHeight="1" thickBot="1" x14ac:dyDescent="0.25">
      <c r="A108" s="159"/>
      <c r="B108" s="141" t="s">
        <v>24</v>
      </c>
      <c r="C108" s="127"/>
      <c r="D108" s="127"/>
      <c r="E108" s="136">
        <f>E106+E107</f>
        <v>15559.540706162465</v>
      </c>
      <c r="F108" s="162" t="s">
        <v>24</v>
      </c>
      <c r="G108" s="146"/>
      <c r="H108" s="137">
        <f>H106+H107</f>
        <v>744.32916282809413</v>
      </c>
    </row>
    <row r="109" spans="1:8" ht="12.75" customHeight="1" thickBot="1" x14ac:dyDescent="0.25">
      <c r="B109" s="149" t="s">
        <v>10</v>
      </c>
      <c r="C109" s="127"/>
      <c r="D109" s="127"/>
      <c r="E109" s="167">
        <v>75</v>
      </c>
      <c r="F109" s="162" t="s">
        <v>10</v>
      </c>
      <c r="G109" s="127"/>
      <c r="H109" s="187">
        <v>78</v>
      </c>
    </row>
    <row r="110" spans="1:8" ht="12.75" customHeight="1" thickBot="1" x14ac:dyDescent="0.25">
      <c r="B110" s="150" t="s">
        <v>1261</v>
      </c>
      <c r="C110" s="127"/>
      <c r="D110" s="127"/>
      <c r="E110" s="138">
        <f>E108/E109</f>
        <v>207.46054274883286</v>
      </c>
      <c r="F110" s="162" t="s">
        <v>1261</v>
      </c>
      <c r="G110" s="127"/>
      <c r="H110" s="137">
        <f>H108/H109</f>
        <v>9.5426815747191558</v>
      </c>
    </row>
    <row r="111" spans="1:8" ht="12" customHeight="1" thickBot="1" x14ac:dyDescent="0.25">
      <c r="B111" s="130" t="s">
        <v>48</v>
      </c>
      <c r="C111" s="221" t="s">
        <v>1831</v>
      </c>
      <c r="D111" s="222"/>
      <c r="E111" s="230"/>
      <c r="F111" s="222"/>
      <c r="G111" s="222"/>
      <c r="H111" s="223"/>
    </row>
    <row r="112" spans="1:8" ht="12" customHeight="1" thickBot="1" x14ac:dyDescent="0.25">
      <c r="B112" s="130" t="s">
        <v>15</v>
      </c>
      <c r="C112" s="224" t="s">
        <v>1832</v>
      </c>
      <c r="D112" s="225"/>
      <c r="E112" s="225"/>
      <c r="F112" s="225"/>
      <c r="G112" s="225"/>
      <c r="H112" s="226"/>
    </row>
    <row r="113" spans="2:8" ht="12" customHeight="1" thickBot="1" x14ac:dyDescent="0.25">
      <c r="B113" s="130" t="s">
        <v>16</v>
      </c>
      <c r="C113" s="224" t="s">
        <v>1833</v>
      </c>
      <c r="D113" s="225"/>
      <c r="E113" s="225"/>
      <c r="F113" s="225"/>
      <c r="G113" s="225"/>
      <c r="H113" s="226"/>
    </row>
    <row r="114" spans="2:8" ht="12" customHeight="1" thickBot="1" x14ac:dyDescent="0.25">
      <c r="B114" s="130" t="s">
        <v>17</v>
      </c>
      <c r="C114" s="224" t="s">
        <v>1837</v>
      </c>
      <c r="D114" s="225"/>
      <c r="E114" s="225"/>
      <c r="F114" s="225"/>
      <c r="G114" s="225"/>
      <c r="H114" s="226"/>
    </row>
    <row r="115" spans="2:8" ht="12" customHeight="1" thickBot="1" x14ac:dyDescent="0.25">
      <c r="B115" s="130" t="s">
        <v>18</v>
      </c>
      <c r="C115" s="224" t="s">
        <v>1834</v>
      </c>
      <c r="D115" s="225"/>
      <c r="E115" s="225"/>
      <c r="F115" s="225"/>
      <c r="G115" s="225"/>
      <c r="H115" s="226"/>
    </row>
    <row r="116" spans="2:8" ht="12" customHeight="1" thickBot="1" x14ac:dyDescent="0.25">
      <c r="B116" s="130" t="s">
        <v>49</v>
      </c>
      <c r="C116" s="224" t="s">
        <v>1836</v>
      </c>
      <c r="D116" s="225"/>
      <c r="E116" s="225"/>
      <c r="F116" s="225"/>
      <c r="G116" s="225"/>
      <c r="H116" s="226"/>
    </row>
    <row r="117" spans="2:8" ht="12" customHeight="1" thickBot="1" x14ac:dyDescent="0.25">
      <c r="B117" s="130" t="s">
        <v>51</v>
      </c>
      <c r="C117" s="224" t="s">
        <v>1835</v>
      </c>
      <c r="D117" s="225"/>
      <c r="E117" s="225"/>
      <c r="F117" s="225"/>
      <c r="G117" s="225"/>
      <c r="H117" s="226"/>
    </row>
    <row r="118" spans="2:8" ht="12" customHeight="1" thickBot="1" x14ac:dyDescent="0.25">
      <c r="B118" s="130" t="s">
        <v>47</v>
      </c>
      <c r="C118" s="224" t="s">
        <v>1838</v>
      </c>
      <c r="D118" s="225"/>
      <c r="E118" s="225"/>
      <c r="F118" s="225"/>
      <c r="G118" s="225"/>
      <c r="H118" s="226"/>
    </row>
    <row r="119" spans="2:8" ht="12" customHeight="1" thickBot="1" x14ac:dyDescent="0.25">
      <c r="B119" s="130" t="s">
        <v>50</v>
      </c>
      <c r="C119" s="209"/>
      <c r="D119" s="210"/>
      <c r="E119" s="210"/>
      <c r="F119" s="210"/>
      <c r="G119" s="210"/>
      <c r="H119" s="211"/>
    </row>
    <row r="120" spans="2:8" ht="12" customHeight="1" thickBot="1" x14ac:dyDescent="0.25">
      <c r="C120" s="188"/>
      <c r="D120" s="188"/>
      <c r="E120" s="188"/>
      <c r="F120" s="188"/>
      <c r="G120" s="188"/>
      <c r="H120" s="188"/>
    </row>
    <row r="121" spans="2:8" ht="21.75" customHeight="1" thickBot="1" x14ac:dyDescent="0.4">
      <c r="B121" s="212" t="s">
        <v>44</v>
      </c>
      <c r="C121" s="213"/>
      <c r="D121" s="213"/>
      <c r="E121" s="213"/>
      <c r="F121" s="213"/>
      <c r="G121" s="213"/>
      <c r="H121" s="214"/>
    </row>
    <row r="122" spans="2:8" ht="12" customHeight="1" thickBot="1" x14ac:dyDescent="0.25">
      <c r="B122" s="215" t="s">
        <v>12</v>
      </c>
      <c r="C122" s="216"/>
      <c r="D122" s="216"/>
      <c r="E122" s="217"/>
      <c r="F122" s="218" t="s">
        <v>13</v>
      </c>
      <c r="G122" s="219"/>
      <c r="H122" s="220"/>
    </row>
    <row r="123" spans="2:8" ht="12" customHeight="1" thickBot="1" x14ac:dyDescent="0.25">
      <c r="B123" s="131" t="s">
        <v>19</v>
      </c>
      <c r="C123" s="131" t="s">
        <v>20</v>
      </c>
      <c r="D123" s="131" t="s">
        <v>21</v>
      </c>
      <c r="E123" s="131" t="s">
        <v>22</v>
      </c>
      <c r="F123" s="134" t="s">
        <v>20</v>
      </c>
      <c r="G123" s="134" t="s">
        <v>21</v>
      </c>
      <c r="H123" s="134" t="s">
        <v>22</v>
      </c>
    </row>
    <row r="124" spans="2:8" s="152" customFormat="1" ht="11.25" customHeight="1" thickBot="1" x14ac:dyDescent="0.25">
      <c r="B124" s="175" t="s">
        <v>1724</v>
      </c>
      <c r="C124" s="153">
        <v>8000</v>
      </c>
      <c r="D124" s="154">
        <f t="shared" ref="D124:D163" si="10">IF(B124="","",VLOOKUP(B124,INVENTARIO,2))</f>
        <v>4.3999999999999997E-2</v>
      </c>
      <c r="E124" s="154">
        <f>IF(C124=0,"",C124*D124)</f>
        <v>352</v>
      </c>
      <c r="F124" s="185">
        <v>9000</v>
      </c>
      <c r="G124" s="154">
        <f>D124</f>
        <v>4.3999999999999997E-2</v>
      </c>
      <c r="H124" s="155">
        <f>IF(F124=0,"",F124*G124)</f>
        <v>396</v>
      </c>
    </row>
    <row r="125" spans="2:8" s="152" customFormat="1" ht="11.25" customHeight="1" thickBot="1" x14ac:dyDescent="0.25">
      <c r="B125" s="175" t="s">
        <v>1692</v>
      </c>
      <c r="C125" s="156">
        <v>20000</v>
      </c>
      <c r="D125" s="155">
        <f t="shared" si="10"/>
        <v>0</v>
      </c>
      <c r="E125" s="155">
        <f t="shared" ref="E125:E163" si="11">IF(C125=0,"",C125*D125)</f>
        <v>0</v>
      </c>
      <c r="F125" s="181">
        <v>22500</v>
      </c>
      <c r="G125" s="155">
        <f t="shared" ref="G125:G163" si="12">D125</f>
        <v>0</v>
      </c>
      <c r="H125" s="155">
        <f t="shared" ref="H125:H163" si="13">IF(F125=0,"",F125*G125)</f>
        <v>0</v>
      </c>
    </row>
    <row r="126" spans="2:8" s="152" customFormat="1" ht="11.25" customHeight="1" thickBot="1" x14ac:dyDescent="0.25">
      <c r="B126" s="175" t="s">
        <v>1798</v>
      </c>
      <c r="C126" s="156">
        <v>8000</v>
      </c>
      <c r="D126" s="155">
        <f t="shared" si="10"/>
        <v>3.2000000000000001E-2</v>
      </c>
      <c r="E126" s="155">
        <f t="shared" si="11"/>
        <v>256</v>
      </c>
      <c r="F126" s="181">
        <v>8500</v>
      </c>
      <c r="G126" s="155">
        <f t="shared" si="12"/>
        <v>3.2000000000000001E-2</v>
      </c>
      <c r="H126" s="155">
        <f t="shared" si="13"/>
        <v>272</v>
      </c>
    </row>
    <row r="127" spans="2:8" s="152" customFormat="1" ht="11.25" customHeight="1" thickBot="1" x14ac:dyDescent="0.25">
      <c r="B127" s="175" t="s">
        <v>1725</v>
      </c>
      <c r="C127" s="156">
        <v>5000</v>
      </c>
      <c r="D127" s="155">
        <f t="shared" si="10"/>
        <v>3.5000000000000003E-2</v>
      </c>
      <c r="E127" s="155">
        <f t="shared" si="11"/>
        <v>175.00000000000003</v>
      </c>
      <c r="F127" s="181">
        <v>5000</v>
      </c>
      <c r="G127" s="155">
        <f t="shared" si="12"/>
        <v>3.5000000000000003E-2</v>
      </c>
      <c r="H127" s="155">
        <f t="shared" si="13"/>
        <v>175.00000000000003</v>
      </c>
    </row>
    <row r="128" spans="2:8" s="152" customFormat="1" ht="11.25" customHeight="1" x14ac:dyDescent="0.2">
      <c r="B128" s="175" t="s">
        <v>1807</v>
      </c>
      <c r="C128" s="156">
        <v>5000</v>
      </c>
      <c r="D128" s="155">
        <f t="shared" si="10"/>
        <v>3.5000000000000003E-2</v>
      </c>
      <c r="E128" s="155">
        <f t="shared" si="11"/>
        <v>175.00000000000003</v>
      </c>
      <c r="F128" s="181">
        <v>3000</v>
      </c>
      <c r="G128" s="155">
        <f t="shared" si="12"/>
        <v>3.5000000000000003E-2</v>
      </c>
      <c r="H128" s="155">
        <f t="shared" si="13"/>
        <v>105.00000000000001</v>
      </c>
    </row>
    <row r="129" spans="2:8" s="152" customFormat="1" ht="11.25" customHeight="1" x14ac:dyDescent="0.2">
      <c r="B129" s="176" t="s">
        <v>1776</v>
      </c>
      <c r="C129" s="156"/>
      <c r="D129" s="155">
        <f t="shared" si="10"/>
        <v>7.0000000000000001E-3</v>
      </c>
      <c r="E129" s="155" t="str">
        <f t="shared" si="11"/>
        <v/>
      </c>
      <c r="F129" s="181">
        <v>5200</v>
      </c>
      <c r="G129" s="155">
        <f t="shared" si="12"/>
        <v>7.0000000000000001E-3</v>
      </c>
      <c r="H129" s="155">
        <f t="shared" si="13"/>
        <v>36.4</v>
      </c>
    </row>
    <row r="130" spans="2:8" s="152" customFormat="1" ht="11.25" customHeight="1" x14ac:dyDescent="0.2">
      <c r="B130" s="176" t="s">
        <v>1808</v>
      </c>
      <c r="C130" s="156">
        <v>2000</v>
      </c>
      <c r="D130" s="155">
        <f t="shared" si="10"/>
        <v>1.4999999999999999E-2</v>
      </c>
      <c r="E130" s="155">
        <f t="shared" si="11"/>
        <v>30</v>
      </c>
      <c r="F130" s="181">
        <v>1000</v>
      </c>
      <c r="G130" s="155">
        <f t="shared" si="12"/>
        <v>1.4999999999999999E-2</v>
      </c>
      <c r="H130" s="155">
        <f t="shared" si="13"/>
        <v>15</v>
      </c>
    </row>
    <row r="131" spans="2:8" s="152" customFormat="1" ht="11.25" customHeight="1" x14ac:dyDescent="0.2">
      <c r="B131" s="176" t="s">
        <v>1701</v>
      </c>
      <c r="C131" s="156">
        <v>30</v>
      </c>
      <c r="D131" s="155">
        <f t="shared" si="10"/>
        <v>0.125</v>
      </c>
      <c r="E131" s="155">
        <f t="shared" si="11"/>
        <v>3.75</v>
      </c>
      <c r="F131" s="181">
        <v>500</v>
      </c>
      <c r="G131" s="155">
        <f t="shared" si="12"/>
        <v>0.125</v>
      </c>
      <c r="H131" s="155">
        <f t="shared" si="13"/>
        <v>62.5</v>
      </c>
    </row>
    <row r="132" spans="2:8" s="152" customFormat="1" ht="11.25" customHeight="1" x14ac:dyDescent="0.2">
      <c r="B132" s="176" t="s">
        <v>1744</v>
      </c>
      <c r="C132" s="156">
        <v>8000</v>
      </c>
      <c r="D132" s="155">
        <f t="shared" si="10"/>
        <v>1.325E-2</v>
      </c>
      <c r="E132" s="155">
        <f t="shared" si="11"/>
        <v>106</v>
      </c>
      <c r="F132" s="181">
        <v>3000</v>
      </c>
      <c r="G132" s="155">
        <f t="shared" si="12"/>
        <v>1.325E-2</v>
      </c>
      <c r="H132" s="155">
        <f t="shared" si="13"/>
        <v>39.75</v>
      </c>
    </row>
    <row r="133" spans="2:8" s="152" customFormat="1" ht="11.25" customHeight="1" x14ac:dyDescent="0.2">
      <c r="B133" s="176" t="s">
        <v>1698</v>
      </c>
      <c r="C133" s="156"/>
      <c r="D133" s="155">
        <f t="shared" si="10"/>
        <v>1.4E-2</v>
      </c>
      <c r="E133" s="155" t="str">
        <f t="shared" si="11"/>
        <v/>
      </c>
      <c r="F133" s="181">
        <v>2500</v>
      </c>
      <c r="G133" s="155">
        <f t="shared" si="12"/>
        <v>1.4E-2</v>
      </c>
      <c r="H133" s="155">
        <f t="shared" si="13"/>
        <v>35</v>
      </c>
    </row>
    <row r="134" spans="2:8" s="152" customFormat="1" ht="11.25" customHeight="1" x14ac:dyDescent="0.2">
      <c r="B134" s="176" t="s">
        <v>1764</v>
      </c>
      <c r="C134" s="156">
        <v>4000</v>
      </c>
      <c r="D134" s="155">
        <f t="shared" si="10"/>
        <v>2E-3</v>
      </c>
      <c r="E134" s="155">
        <f t="shared" si="11"/>
        <v>8</v>
      </c>
      <c r="F134" s="181">
        <v>16000</v>
      </c>
      <c r="G134" s="155">
        <f t="shared" si="12"/>
        <v>2E-3</v>
      </c>
      <c r="H134" s="155">
        <f t="shared" si="13"/>
        <v>32</v>
      </c>
    </row>
    <row r="135" spans="2:8" s="152" customFormat="1" ht="11.25" customHeight="1" x14ac:dyDescent="0.2">
      <c r="B135" s="176" t="s">
        <v>1767</v>
      </c>
      <c r="C135" s="156">
        <v>4000</v>
      </c>
      <c r="D135" s="155">
        <f t="shared" si="10"/>
        <v>1.32E-2</v>
      </c>
      <c r="E135" s="155">
        <f t="shared" si="11"/>
        <v>52.8</v>
      </c>
      <c r="F135" s="181">
        <v>7500</v>
      </c>
      <c r="G135" s="155">
        <f t="shared" si="12"/>
        <v>1.32E-2</v>
      </c>
      <c r="H135" s="155">
        <f t="shared" si="13"/>
        <v>99</v>
      </c>
    </row>
    <row r="136" spans="2:8" s="152" customFormat="1" ht="11.25" customHeight="1" x14ac:dyDescent="0.2">
      <c r="B136" s="176" t="s">
        <v>1702</v>
      </c>
      <c r="C136" s="156">
        <v>4000</v>
      </c>
      <c r="D136" s="155">
        <f t="shared" si="10"/>
        <v>1.4999999999999999E-2</v>
      </c>
      <c r="E136" s="155">
        <f t="shared" si="11"/>
        <v>60</v>
      </c>
      <c r="F136" s="181">
        <v>1000</v>
      </c>
      <c r="G136" s="155">
        <f t="shared" si="12"/>
        <v>1.4999999999999999E-2</v>
      </c>
      <c r="H136" s="155">
        <f t="shared" si="13"/>
        <v>15</v>
      </c>
    </row>
    <row r="137" spans="2:8" s="152" customFormat="1" ht="11.25" customHeight="1" x14ac:dyDescent="0.2">
      <c r="B137" s="176" t="s">
        <v>1705</v>
      </c>
      <c r="C137" s="156">
        <v>2000</v>
      </c>
      <c r="D137" s="155">
        <f t="shared" si="10"/>
        <v>1.4999999999999999E-2</v>
      </c>
      <c r="E137" s="155">
        <f t="shared" si="11"/>
        <v>30</v>
      </c>
      <c r="F137" s="181">
        <v>300</v>
      </c>
      <c r="G137" s="155">
        <f t="shared" si="12"/>
        <v>1.4999999999999999E-2</v>
      </c>
      <c r="H137" s="155">
        <f t="shared" si="13"/>
        <v>4.5</v>
      </c>
    </row>
    <row r="138" spans="2:8" s="152" customFormat="1" ht="11.25" customHeight="1" x14ac:dyDescent="0.2">
      <c r="B138" s="194" t="s">
        <v>1749</v>
      </c>
      <c r="C138" s="156"/>
      <c r="D138" s="155">
        <f t="shared" si="10"/>
        <v>1.4999999999999999E-2</v>
      </c>
      <c r="E138" s="155"/>
      <c r="F138" s="181">
        <v>200</v>
      </c>
      <c r="G138" s="155">
        <f t="shared" si="12"/>
        <v>1.4999999999999999E-2</v>
      </c>
      <c r="H138" s="155">
        <f t="shared" si="13"/>
        <v>3</v>
      </c>
    </row>
    <row r="139" spans="2:8" s="152" customFormat="1" ht="11.25" customHeight="1" x14ac:dyDescent="0.2">
      <c r="B139" s="176" t="s">
        <v>1784</v>
      </c>
      <c r="C139" s="156"/>
      <c r="D139" s="155">
        <f t="shared" si="10"/>
        <v>8.33</v>
      </c>
      <c r="E139" s="155"/>
      <c r="F139" s="181">
        <v>5</v>
      </c>
      <c r="G139" s="155">
        <f t="shared" si="12"/>
        <v>8.33</v>
      </c>
      <c r="H139" s="155">
        <f t="shared" si="13"/>
        <v>41.65</v>
      </c>
    </row>
    <row r="140" spans="2:8" s="152" customFormat="1" ht="11.25" customHeight="1" x14ac:dyDescent="0.2">
      <c r="B140" s="176" t="s">
        <v>1785</v>
      </c>
      <c r="C140" s="156"/>
      <c r="D140" s="155">
        <f t="shared" si="10"/>
        <v>4.5</v>
      </c>
      <c r="E140" s="155"/>
      <c r="F140" s="181">
        <v>5</v>
      </c>
      <c r="G140" s="155">
        <f t="shared" si="12"/>
        <v>4.5</v>
      </c>
      <c r="H140" s="155">
        <f t="shared" si="13"/>
        <v>22.5</v>
      </c>
    </row>
    <row r="141" spans="2:8" s="152" customFormat="1" ht="11.25" customHeight="1" x14ac:dyDescent="0.2">
      <c r="B141" s="176" t="s">
        <v>1704</v>
      </c>
      <c r="C141" s="193"/>
      <c r="D141" s="155">
        <f t="shared" si="10"/>
        <v>8.0000000000000002E-3</v>
      </c>
      <c r="E141" s="155"/>
      <c r="F141" s="181">
        <v>8000</v>
      </c>
      <c r="G141" s="155">
        <f t="shared" si="12"/>
        <v>8.0000000000000002E-3</v>
      </c>
      <c r="H141" s="155">
        <f t="shared" si="13"/>
        <v>64</v>
      </c>
    </row>
    <row r="142" spans="2:8" s="152" customFormat="1" ht="11.25" customHeight="1" x14ac:dyDescent="0.2">
      <c r="B142" s="176" t="s">
        <v>1773</v>
      </c>
      <c r="C142" s="193"/>
      <c r="D142" s="155">
        <f t="shared" si="10"/>
        <v>1.576E-2</v>
      </c>
      <c r="E142" s="155"/>
      <c r="F142" s="181">
        <v>1000</v>
      </c>
      <c r="G142" s="155">
        <f t="shared" si="12"/>
        <v>1.576E-2</v>
      </c>
      <c r="H142" s="155">
        <f t="shared" si="13"/>
        <v>15.76</v>
      </c>
    </row>
    <row r="143" spans="2:8" s="152" customFormat="1" ht="11.25" customHeight="1" x14ac:dyDescent="0.2">
      <c r="B143" s="176" t="s">
        <v>1844</v>
      </c>
      <c r="C143" s="193"/>
      <c r="D143" s="155">
        <f t="shared" si="10"/>
        <v>0.02</v>
      </c>
      <c r="E143" s="155"/>
      <c r="F143" s="181">
        <v>300</v>
      </c>
      <c r="G143" s="155">
        <f t="shared" si="12"/>
        <v>0.02</v>
      </c>
      <c r="H143" s="155">
        <f t="shared" si="13"/>
        <v>6</v>
      </c>
    </row>
    <row r="144" spans="2:8" s="152" customFormat="1" ht="11.25" customHeight="1" x14ac:dyDescent="0.2">
      <c r="B144" s="176" t="s">
        <v>1845</v>
      </c>
      <c r="C144" s="193"/>
      <c r="D144" s="155">
        <f t="shared" si="10"/>
        <v>0.05</v>
      </c>
      <c r="E144" s="155"/>
      <c r="F144" s="181">
        <v>200</v>
      </c>
      <c r="G144" s="155">
        <f t="shared" si="12"/>
        <v>0.05</v>
      </c>
      <c r="H144" s="155">
        <f t="shared" si="13"/>
        <v>10</v>
      </c>
    </row>
    <row r="145" spans="2:8" s="152" customFormat="1" ht="11.25" customHeight="1" x14ac:dyDescent="0.2">
      <c r="B145" s="176" t="s">
        <v>1846</v>
      </c>
      <c r="C145" s="156"/>
      <c r="D145" s="155">
        <f t="shared" si="10"/>
        <v>2.5000000000000001E-2</v>
      </c>
      <c r="E145" s="155"/>
      <c r="F145" s="181">
        <v>100</v>
      </c>
      <c r="G145" s="155">
        <f t="shared" si="12"/>
        <v>2.5000000000000001E-2</v>
      </c>
      <c r="H145" s="155">
        <f t="shared" si="13"/>
        <v>2.5</v>
      </c>
    </row>
    <row r="146" spans="2:8" s="152" customFormat="1" ht="11.25" customHeight="1" x14ac:dyDescent="0.2">
      <c r="B146" s="176" t="s">
        <v>1813</v>
      </c>
      <c r="C146" s="156"/>
      <c r="D146" s="155">
        <f t="shared" si="10"/>
        <v>1.7860000000000001E-2</v>
      </c>
      <c r="E146" s="155"/>
      <c r="F146" s="181">
        <v>700</v>
      </c>
      <c r="G146" s="155">
        <f t="shared" si="12"/>
        <v>1.7860000000000001E-2</v>
      </c>
      <c r="H146" s="155">
        <f t="shared" si="13"/>
        <v>12.502000000000001</v>
      </c>
    </row>
    <row r="147" spans="2:8" s="152" customFormat="1" ht="11.25" customHeight="1" x14ac:dyDescent="0.2">
      <c r="B147" s="176" t="s">
        <v>1814</v>
      </c>
      <c r="C147" s="156"/>
      <c r="D147" s="155">
        <f t="shared" si="10"/>
        <v>13</v>
      </c>
      <c r="E147" s="155"/>
      <c r="F147" s="181">
        <v>3</v>
      </c>
      <c r="G147" s="155">
        <f t="shared" si="12"/>
        <v>13</v>
      </c>
      <c r="H147" s="155">
        <f t="shared" si="13"/>
        <v>39</v>
      </c>
    </row>
    <row r="148" spans="2:8" s="152" customFormat="1" ht="11.25" customHeight="1" x14ac:dyDescent="0.2">
      <c r="B148" s="176" t="s">
        <v>1678</v>
      </c>
      <c r="C148" s="156"/>
      <c r="D148" s="155">
        <f t="shared" si="10"/>
        <v>4.9000000000000007E-3</v>
      </c>
      <c r="E148" s="155"/>
      <c r="F148" s="182">
        <v>2000</v>
      </c>
      <c r="G148" s="155">
        <f t="shared" si="12"/>
        <v>4.9000000000000007E-3</v>
      </c>
      <c r="H148" s="155">
        <f t="shared" si="13"/>
        <v>9.8000000000000007</v>
      </c>
    </row>
    <row r="149" spans="2:8" ht="11.25" customHeight="1" x14ac:dyDescent="0.2">
      <c r="B149" s="176" t="s">
        <v>1810</v>
      </c>
      <c r="C149" s="128"/>
      <c r="D149" s="155">
        <f t="shared" si="10"/>
        <v>78.273333333333326</v>
      </c>
      <c r="E149" s="136"/>
      <c r="F149" s="182">
        <v>1</v>
      </c>
      <c r="G149" s="155">
        <f t="shared" si="12"/>
        <v>78.273333333333326</v>
      </c>
      <c r="H149" s="136">
        <f t="shared" si="13"/>
        <v>78.273333333333326</v>
      </c>
    </row>
    <row r="150" spans="2:8" ht="11.25" customHeight="1" x14ac:dyDescent="0.2">
      <c r="B150" s="176" t="s">
        <v>1782</v>
      </c>
      <c r="C150" s="128"/>
      <c r="D150" s="155">
        <f t="shared" si="10"/>
        <v>1.6119444444444443E-2</v>
      </c>
      <c r="E150" s="136"/>
      <c r="F150" s="182">
        <v>1000</v>
      </c>
      <c r="G150" s="155">
        <f t="shared" si="12"/>
        <v>1.6119444444444443E-2</v>
      </c>
      <c r="H150" s="136">
        <f t="shared" si="13"/>
        <v>16.119444444444444</v>
      </c>
    </row>
    <row r="151" spans="2:8" ht="11.25" customHeight="1" x14ac:dyDescent="0.2">
      <c r="B151" s="176" t="s">
        <v>1823</v>
      </c>
      <c r="C151" s="128"/>
      <c r="D151" s="155">
        <f t="shared" si="10"/>
        <v>1.0167500000000001E-2</v>
      </c>
      <c r="E151" s="136"/>
      <c r="F151" s="182">
        <v>200</v>
      </c>
      <c r="G151" s="155">
        <f t="shared" si="12"/>
        <v>1.0167500000000001E-2</v>
      </c>
      <c r="H151" s="136">
        <f t="shared" si="13"/>
        <v>2.0335000000000001</v>
      </c>
    </row>
    <row r="152" spans="2:8" ht="11.25" customHeight="1" x14ac:dyDescent="0.2">
      <c r="B152" s="176"/>
      <c r="C152" s="128"/>
      <c r="D152" s="155" t="str">
        <f t="shared" si="10"/>
        <v/>
      </c>
      <c r="E152" s="136"/>
      <c r="F152" s="182"/>
      <c r="G152" s="155" t="str">
        <f t="shared" si="12"/>
        <v/>
      </c>
      <c r="H152" s="136" t="str">
        <f t="shared" si="13"/>
        <v/>
      </c>
    </row>
    <row r="153" spans="2:8" ht="11.25" customHeight="1" x14ac:dyDescent="0.2">
      <c r="B153" s="176"/>
      <c r="C153" s="128"/>
      <c r="D153" s="155" t="str">
        <f t="shared" si="10"/>
        <v/>
      </c>
      <c r="E153" s="136" t="str">
        <f t="shared" si="11"/>
        <v/>
      </c>
      <c r="F153" s="182"/>
      <c r="G153" s="155" t="str">
        <f t="shared" si="12"/>
        <v/>
      </c>
      <c r="H153" s="136" t="str">
        <f t="shared" si="13"/>
        <v/>
      </c>
    </row>
    <row r="154" spans="2:8" ht="11.25" customHeight="1" x14ac:dyDescent="0.2">
      <c r="B154" s="176"/>
      <c r="C154" s="128"/>
      <c r="D154" s="155" t="str">
        <f t="shared" si="10"/>
        <v/>
      </c>
      <c r="E154" s="136" t="str">
        <f t="shared" si="11"/>
        <v/>
      </c>
      <c r="F154" s="182"/>
      <c r="G154" s="155" t="str">
        <f t="shared" si="12"/>
        <v/>
      </c>
      <c r="H154" s="136" t="str">
        <f t="shared" si="13"/>
        <v/>
      </c>
    </row>
    <row r="155" spans="2:8" ht="11.25" customHeight="1" x14ac:dyDescent="0.2">
      <c r="B155" s="176"/>
      <c r="C155" s="128"/>
      <c r="D155" s="155" t="str">
        <f t="shared" si="10"/>
        <v/>
      </c>
      <c r="E155" s="136" t="str">
        <f t="shared" si="11"/>
        <v/>
      </c>
      <c r="F155" s="182"/>
      <c r="G155" s="155" t="str">
        <f t="shared" si="12"/>
        <v/>
      </c>
      <c r="H155" s="136" t="str">
        <f t="shared" si="13"/>
        <v/>
      </c>
    </row>
    <row r="156" spans="2:8" ht="11.25" customHeight="1" x14ac:dyDescent="0.2">
      <c r="B156" s="176"/>
      <c r="C156" s="128"/>
      <c r="D156" s="155" t="str">
        <f t="shared" si="10"/>
        <v/>
      </c>
      <c r="E156" s="136" t="str">
        <f t="shared" si="11"/>
        <v/>
      </c>
      <c r="F156" s="182"/>
      <c r="G156" s="155" t="str">
        <f t="shared" si="12"/>
        <v/>
      </c>
      <c r="H156" s="136" t="str">
        <f t="shared" si="13"/>
        <v/>
      </c>
    </row>
    <row r="157" spans="2:8" ht="11.25" customHeight="1" x14ac:dyDescent="0.2">
      <c r="B157" s="176"/>
      <c r="C157" s="128"/>
      <c r="D157" s="155" t="str">
        <f t="shared" si="10"/>
        <v/>
      </c>
      <c r="E157" s="136" t="str">
        <f t="shared" si="11"/>
        <v/>
      </c>
      <c r="F157" s="182"/>
      <c r="G157" s="155" t="str">
        <f t="shared" si="12"/>
        <v/>
      </c>
      <c r="H157" s="136" t="str">
        <f t="shared" si="13"/>
        <v/>
      </c>
    </row>
    <row r="158" spans="2:8" ht="11.25" customHeight="1" x14ac:dyDescent="0.2">
      <c r="B158" s="176"/>
      <c r="C158" s="128"/>
      <c r="D158" s="155" t="str">
        <f t="shared" si="10"/>
        <v/>
      </c>
      <c r="E158" s="136" t="str">
        <f t="shared" si="11"/>
        <v/>
      </c>
      <c r="F158" s="182"/>
      <c r="G158" s="155" t="str">
        <f t="shared" si="12"/>
        <v/>
      </c>
      <c r="H158" s="136" t="str">
        <f t="shared" si="13"/>
        <v/>
      </c>
    </row>
    <row r="159" spans="2:8" ht="11.25" customHeight="1" x14ac:dyDescent="0.2">
      <c r="B159" s="176"/>
      <c r="C159" s="128"/>
      <c r="D159" s="155" t="str">
        <f t="shared" si="10"/>
        <v/>
      </c>
      <c r="E159" s="136" t="str">
        <f t="shared" si="11"/>
        <v/>
      </c>
      <c r="F159" s="182"/>
      <c r="G159" s="155" t="str">
        <f t="shared" si="12"/>
        <v/>
      </c>
      <c r="H159" s="136" t="str">
        <f t="shared" si="13"/>
        <v/>
      </c>
    </row>
    <row r="160" spans="2:8" ht="11.25" customHeight="1" x14ac:dyDescent="0.2">
      <c r="B160" s="176"/>
      <c r="C160" s="128"/>
      <c r="D160" s="155" t="str">
        <f t="shared" si="10"/>
        <v/>
      </c>
      <c r="E160" s="136" t="str">
        <f t="shared" si="11"/>
        <v/>
      </c>
      <c r="F160" s="182"/>
      <c r="G160" s="155" t="str">
        <f t="shared" si="12"/>
        <v/>
      </c>
      <c r="H160" s="136" t="str">
        <f t="shared" si="13"/>
        <v/>
      </c>
    </row>
    <row r="161" spans="1:8" ht="11.25" customHeight="1" x14ac:dyDescent="0.2">
      <c r="B161" s="177"/>
      <c r="C161" s="128"/>
      <c r="D161" s="155" t="str">
        <f t="shared" si="10"/>
        <v/>
      </c>
      <c r="E161" s="136" t="str">
        <f t="shared" si="11"/>
        <v/>
      </c>
      <c r="F161" s="182"/>
      <c r="G161" s="155" t="str">
        <f t="shared" si="12"/>
        <v/>
      </c>
      <c r="H161" s="136" t="str">
        <f t="shared" si="13"/>
        <v/>
      </c>
    </row>
    <row r="162" spans="1:8" ht="11.25" customHeight="1" x14ac:dyDescent="0.2">
      <c r="B162" s="189"/>
      <c r="C162" s="140"/>
      <c r="D162" s="155" t="str">
        <f t="shared" si="10"/>
        <v/>
      </c>
      <c r="E162" s="148"/>
      <c r="F162" s="186"/>
      <c r="G162" s="155" t="str">
        <f t="shared" si="12"/>
        <v/>
      </c>
      <c r="H162" s="136" t="str">
        <f t="shared" si="13"/>
        <v/>
      </c>
    </row>
    <row r="163" spans="1:8" ht="12" customHeight="1" thickBot="1" x14ac:dyDescent="0.25">
      <c r="B163" s="178"/>
      <c r="C163" s="129"/>
      <c r="D163" s="155" t="str">
        <f t="shared" si="10"/>
        <v/>
      </c>
      <c r="E163" s="138" t="str">
        <f t="shared" si="11"/>
        <v/>
      </c>
      <c r="F163" s="183"/>
      <c r="G163" s="155" t="str">
        <f t="shared" si="12"/>
        <v/>
      </c>
      <c r="H163" s="136" t="str">
        <f t="shared" si="13"/>
        <v/>
      </c>
    </row>
    <row r="164" spans="1:8" ht="12.75" customHeight="1" thickBot="1" x14ac:dyDescent="0.25">
      <c r="A164" s="159"/>
      <c r="B164" s="141" t="s">
        <v>831</v>
      </c>
      <c r="C164" s="127"/>
      <c r="D164" s="164"/>
      <c r="E164" s="137">
        <f>SUM(E125:E163)</f>
        <v>896.55</v>
      </c>
      <c r="F164" s="162" t="s">
        <v>831</v>
      </c>
      <c r="G164" s="127"/>
      <c r="H164" s="137">
        <f>SUM(H124:H163)</f>
        <v>1610.2882777777779</v>
      </c>
    </row>
    <row r="165" spans="1:8" ht="12.75" customHeight="1" thickBot="1" x14ac:dyDescent="0.25">
      <c r="A165" s="159"/>
      <c r="B165" s="141" t="s">
        <v>832</v>
      </c>
      <c r="C165" s="127"/>
      <c r="D165" s="127"/>
      <c r="E165" s="147">
        <f>E164*10/100</f>
        <v>89.655000000000001</v>
      </c>
      <c r="F165" s="165" t="s">
        <v>832</v>
      </c>
      <c r="G165" s="146"/>
      <c r="H165" s="137">
        <f>H164*10/100</f>
        <v>161.02882777777779</v>
      </c>
    </row>
    <row r="166" spans="1:8" ht="12.75" customHeight="1" thickBot="1" x14ac:dyDescent="0.25">
      <c r="A166" s="159"/>
      <c r="B166" s="141" t="s">
        <v>24</v>
      </c>
      <c r="C166" s="127"/>
      <c r="D166" s="127"/>
      <c r="E166" s="136">
        <f>E164+E165</f>
        <v>986.20499999999993</v>
      </c>
      <c r="F166" s="162" t="s">
        <v>24</v>
      </c>
      <c r="G166" s="146"/>
      <c r="H166" s="137">
        <f>H164+H165</f>
        <v>1771.3171055555558</v>
      </c>
    </row>
    <row r="167" spans="1:8" ht="12.75" customHeight="1" thickBot="1" x14ac:dyDescent="0.25">
      <c r="B167" s="149" t="s">
        <v>10</v>
      </c>
      <c r="C167" s="127"/>
      <c r="D167" s="127"/>
      <c r="E167" s="166">
        <v>105</v>
      </c>
      <c r="F167" s="162" t="s">
        <v>10</v>
      </c>
      <c r="G167" s="127"/>
      <c r="H167" s="184">
        <v>104</v>
      </c>
    </row>
    <row r="168" spans="1:8" ht="12.75" customHeight="1" thickBot="1" x14ac:dyDescent="0.25">
      <c r="B168" s="150" t="s">
        <v>1261</v>
      </c>
      <c r="C168" s="127"/>
      <c r="D168" s="127"/>
      <c r="E168" s="163">
        <f>E166/E167</f>
        <v>9.3924285714285709</v>
      </c>
      <c r="F168" s="162" t="s">
        <v>1261</v>
      </c>
      <c r="G168" s="127"/>
      <c r="H168" s="137">
        <f>H166/H167</f>
        <v>17.031895245726499</v>
      </c>
    </row>
    <row r="169" spans="1:8" ht="12" customHeight="1" thickBot="1" x14ac:dyDescent="0.25">
      <c r="B169" s="130" t="s">
        <v>48</v>
      </c>
      <c r="C169" s="221" t="s">
        <v>1805</v>
      </c>
      <c r="D169" s="222"/>
      <c r="E169" s="222"/>
      <c r="F169" s="222"/>
      <c r="G169" s="222"/>
      <c r="H169" s="223"/>
    </row>
    <row r="170" spans="1:8" ht="12" customHeight="1" thickBot="1" x14ac:dyDescent="0.25">
      <c r="B170" s="130" t="s">
        <v>15</v>
      </c>
      <c r="C170" s="224" t="s">
        <v>1839</v>
      </c>
      <c r="D170" s="225"/>
      <c r="E170" s="225"/>
      <c r="F170" s="225"/>
      <c r="G170" s="225"/>
      <c r="H170" s="226"/>
    </row>
    <row r="171" spans="1:8" ht="12" customHeight="1" thickBot="1" x14ac:dyDescent="0.25">
      <c r="B171" s="130" t="s">
        <v>16</v>
      </c>
      <c r="C171" s="224" t="s">
        <v>1840</v>
      </c>
      <c r="D171" s="225"/>
      <c r="E171" s="225"/>
      <c r="F171" s="225"/>
      <c r="G171" s="225"/>
      <c r="H171" s="226"/>
    </row>
    <row r="172" spans="1:8" ht="12" customHeight="1" thickBot="1" x14ac:dyDescent="0.25">
      <c r="B172" s="130" t="s">
        <v>17</v>
      </c>
      <c r="C172" s="224" t="s">
        <v>1806</v>
      </c>
      <c r="D172" s="225"/>
      <c r="E172" s="225"/>
      <c r="F172" s="225"/>
      <c r="G172" s="225"/>
      <c r="H172" s="226"/>
    </row>
    <row r="173" spans="1:8" ht="12" customHeight="1" thickBot="1" x14ac:dyDescent="0.25">
      <c r="B173" s="130" t="s">
        <v>18</v>
      </c>
      <c r="C173" s="224" t="s">
        <v>1841</v>
      </c>
      <c r="D173" s="225"/>
      <c r="E173" s="225"/>
      <c r="F173" s="225"/>
      <c r="G173" s="225"/>
      <c r="H173" s="226"/>
    </row>
    <row r="174" spans="1:8" ht="12" customHeight="1" thickBot="1" x14ac:dyDescent="0.25">
      <c r="B174" s="130" t="s">
        <v>49</v>
      </c>
      <c r="C174" s="224" t="s">
        <v>1842</v>
      </c>
      <c r="D174" s="225"/>
      <c r="E174" s="225"/>
      <c r="F174" s="225"/>
      <c r="G174" s="225"/>
      <c r="H174" s="226"/>
    </row>
    <row r="175" spans="1:8" ht="12" customHeight="1" thickBot="1" x14ac:dyDescent="0.25">
      <c r="B175" s="130" t="s">
        <v>51</v>
      </c>
      <c r="C175" s="209" t="s">
        <v>1847</v>
      </c>
      <c r="D175" s="210"/>
      <c r="E175" s="210"/>
      <c r="F175" s="210"/>
      <c r="G175" s="210"/>
      <c r="H175" s="211"/>
    </row>
    <row r="176" spans="1:8" ht="12" customHeight="1" thickBot="1" x14ac:dyDescent="0.25">
      <c r="B176" s="130" t="s">
        <v>47</v>
      </c>
      <c r="C176" s="224" t="s">
        <v>1843</v>
      </c>
      <c r="D176" s="225"/>
      <c r="E176" s="225"/>
      <c r="F176" s="225"/>
      <c r="G176" s="225"/>
      <c r="H176" s="226"/>
    </row>
    <row r="177" spans="2:8" ht="12" customHeight="1" thickBot="1" x14ac:dyDescent="0.25">
      <c r="B177" s="130" t="s">
        <v>50</v>
      </c>
      <c r="C177" s="209"/>
      <c r="D177" s="210"/>
      <c r="E177" s="210"/>
      <c r="F177" s="210"/>
      <c r="G177" s="210"/>
      <c r="H177" s="211"/>
    </row>
    <row r="178" spans="2:8" ht="12" customHeight="1" thickBot="1" x14ac:dyDescent="0.25">
      <c r="C178" s="188"/>
      <c r="D178" s="188"/>
      <c r="E178" s="188"/>
      <c r="F178" s="188"/>
      <c r="G178" s="188"/>
      <c r="H178" s="188"/>
    </row>
    <row r="179" spans="2:8" ht="21.75" customHeight="1" thickBot="1" x14ac:dyDescent="0.4">
      <c r="B179" s="212" t="s">
        <v>998</v>
      </c>
      <c r="C179" s="213"/>
      <c r="D179" s="213"/>
      <c r="E179" s="213"/>
      <c r="F179" s="213"/>
      <c r="G179" s="213"/>
      <c r="H179" s="214"/>
    </row>
    <row r="180" spans="2:8" ht="12" customHeight="1" thickBot="1" x14ac:dyDescent="0.25">
      <c r="B180" s="215" t="s">
        <v>12</v>
      </c>
      <c r="C180" s="216"/>
      <c r="D180" s="216"/>
      <c r="E180" s="217"/>
      <c r="F180" s="218" t="s">
        <v>13</v>
      </c>
      <c r="G180" s="219"/>
      <c r="H180" s="220"/>
    </row>
    <row r="181" spans="2:8" ht="12" customHeight="1" thickBot="1" x14ac:dyDescent="0.25">
      <c r="B181" s="131" t="s">
        <v>19</v>
      </c>
      <c r="C181" s="131" t="s">
        <v>20</v>
      </c>
      <c r="D181" s="131" t="s">
        <v>21</v>
      </c>
      <c r="E181" s="131" t="s">
        <v>22</v>
      </c>
      <c r="F181" s="134" t="s">
        <v>20</v>
      </c>
      <c r="G181" s="134" t="s">
        <v>21</v>
      </c>
      <c r="H181" s="134" t="s">
        <v>22</v>
      </c>
    </row>
    <row r="182" spans="2:8" s="152" customFormat="1" ht="11.25" customHeight="1" thickBot="1" x14ac:dyDescent="0.25">
      <c r="B182" s="175" t="s">
        <v>1724</v>
      </c>
      <c r="C182" s="160">
        <v>3000</v>
      </c>
      <c r="D182" s="154">
        <f t="shared" ref="D182:D220" si="14">IF(B182="","",VLOOKUP(B182,INVENTARIO,2))</f>
        <v>4.3999999999999997E-2</v>
      </c>
      <c r="E182" s="154">
        <f>IF(C182=0,"",C182*D182)</f>
        <v>132</v>
      </c>
      <c r="F182" s="185">
        <v>3000</v>
      </c>
      <c r="G182" s="154">
        <f>D182</f>
        <v>4.3999999999999997E-2</v>
      </c>
      <c r="H182" s="155">
        <f>IF(F182=0,"",F182*G182)</f>
        <v>132</v>
      </c>
    </row>
    <row r="183" spans="2:8" s="152" customFormat="1" ht="11.25" customHeight="1" x14ac:dyDescent="0.2">
      <c r="B183" s="175" t="s">
        <v>1692</v>
      </c>
      <c r="C183" s="161">
        <v>10000</v>
      </c>
      <c r="D183" s="155">
        <f t="shared" si="14"/>
        <v>0</v>
      </c>
      <c r="E183" s="155">
        <f t="shared" ref="E183:E186" si="15">IF(C183=0,"",C183*D183)</f>
        <v>0</v>
      </c>
      <c r="F183" s="181">
        <v>8000</v>
      </c>
      <c r="G183" s="155">
        <f t="shared" ref="G183:G220" si="16">D183</f>
        <v>0</v>
      </c>
      <c r="H183" s="155">
        <f t="shared" ref="H183:H220" si="17">IF(F183=0,"",F183*G183)</f>
        <v>0</v>
      </c>
    </row>
    <row r="184" spans="2:8" s="152" customFormat="1" ht="11.25" customHeight="1" x14ac:dyDescent="0.2">
      <c r="B184" s="176" t="s">
        <v>1766</v>
      </c>
      <c r="C184" s="161">
        <v>3000</v>
      </c>
      <c r="D184" s="155">
        <f t="shared" si="14"/>
        <v>6.0000000000000001E-3</v>
      </c>
      <c r="E184" s="155">
        <f t="shared" si="15"/>
        <v>18</v>
      </c>
      <c r="F184" s="181">
        <v>1000</v>
      </c>
      <c r="G184" s="155">
        <f t="shared" si="16"/>
        <v>6.0000000000000001E-3</v>
      </c>
      <c r="H184" s="155">
        <f t="shared" si="17"/>
        <v>6</v>
      </c>
    </row>
    <row r="185" spans="2:8" s="152" customFormat="1" ht="11.25" customHeight="1" x14ac:dyDescent="0.2">
      <c r="B185" s="176" t="s">
        <v>1745</v>
      </c>
      <c r="C185" s="161">
        <v>300</v>
      </c>
      <c r="D185" s="155">
        <f t="shared" si="14"/>
        <v>0.01</v>
      </c>
      <c r="E185" s="155">
        <f t="shared" si="15"/>
        <v>3</v>
      </c>
      <c r="F185" s="181">
        <v>1500</v>
      </c>
      <c r="G185" s="155">
        <f t="shared" si="16"/>
        <v>0.01</v>
      </c>
      <c r="H185" s="155">
        <f t="shared" si="17"/>
        <v>15</v>
      </c>
    </row>
    <row r="186" spans="2:8" s="152" customFormat="1" ht="11.25" customHeight="1" x14ac:dyDescent="0.2">
      <c r="B186" s="176" t="s">
        <v>1702</v>
      </c>
      <c r="C186" s="161">
        <v>5000</v>
      </c>
      <c r="D186" s="155">
        <f t="shared" si="14"/>
        <v>1.4999999999999999E-2</v>
      </c>
      <c r="E186" s="155">
        <f t="shared" si="15"/>
        <v>75</v>
      </c>
      <c r="F186" s="181">
        <v>1000</v>
      </c>
      <c r="G186" s="155">
        <f t="shared" si="16"/>
        <v>1.4999999999999999E-2</v>
      </c>
      <c r="H186" s="155">
        <f t="shared" si="17"/>
        <v>15</v>
      </c>
    </row>
    <row r="187" spans="2:8" s="152" customFormat="1" ht="11.25" customHeight="1" x14ac:dyDescent="0.2">
      <c r="B187" s="176" t="s">
        <v>1785</v>
      </c>
      <c r="C187" s="161"/>
      <c r="D187" s="155">
        <f t="shared" si="14"/>
        <v>4.5</v>
      </c>
      <c r="E187" s="155"/>
      <c r="F187" s="181">
        <v>5</v>
      </c>
      <c r="G187" s="155">
        <f t="shared" si="16"/>
        <v>4.5</v>
      </c>
      <c r="H187" s="155">
        <f t="shared" si="17"/>
        <v>22.5</v>
      </c>
    </row>
    <row r="188" spans="2:8" s="152" customFormat="1" ht="11.25" customHeight="1" x14ac:dyDescent="0.2">
      <c r="B188" s="176" t="s">
        <v>1784</v>
      </c>
      <c r="C188" s="161"/>
      <c r="D188" s="155">
        <f t="shared" si="14"/>
        <v>8.33</v>
      </c>
      <c r="E188" s="155"/>
      <c r="F188" s="181">
        <v>5</v>
      </c>
      <c r="G188" s="155">
        <f t="shared" si="16"/>
        <v>8.33</v>
      </c>
      <c r="H188" s="155">
        <f t="shared" si="17"/>
        <v>41.65</v>
      </c>
    </row>
    <row r="189" spans="2:8" s="152" customFormat="1" ht="11.25" customHeight="1" thickBot="1" x14ac:dyDescent="0.25">
      <c r="B189" s="176" t="s">
        <v>1709</v>
      </c>
      <c r="C189" s="161"/>
      <c r="D189" s="155">
        <f t="shared" si="14"/>
        <v>4.28E-3</v>
      </c>
      <c r="E189" s="155"/>
      <c r="F189" s="181">
        <v>1500</v>
      </c>
      <c r="G189" s="155">
        <f t="shared" si="16"/>
        <v>4.28E-3</v>
      </c>
      <c r="H189" s="155">
        <f t="shared" si="17"/>
        <v>6.42</v>
      </c>
    </row>
    <row r="190" spans="2:8" s="152" customFormat="1" ht="11.25" customHeight="1" x14ac:dyDescent="0.2">
      <c r="B190" s="175" t="s">
        <v>1672</v>
      </c>
      <c r="C190" s="161"/>
      <c r="D190" s="155">
        <f t="shared" si="14"/>
        <v>5.9819999999999998E-2</v>
      </c>
      <c r="E190" s="155"/>
      <c r="F190" s="181">
        <v>1000</v>
      </c>
      <c r="G190" s="155">
        <f t="shared" si="16"/>
        <v>5.9819999999999998E-2</v>
      </c>
      <c r="H190" s="155">
        <f t="shared" si="17"/>
        <v>59.82</v>
      </c>
    </row>
    <row r="191" spans="2:8" s="152" customFormat="1" ht="11.25" customHeight="1" x14ac:dyDescent="0.2">
      <c r="B191" s="176" t="s">
        <v>1673</v>
      </c>
      <c r="C191" s="161"/>
      <c r="D191" s="155">
        <f t="shared" si="14"/>
        <v>1.5090000000000001E-2</v>
      </c>
      <c r="E191" s="155"/>
      <c r="F191" s="181">
        <v>1000</v>
      </c>
      <c r="G191" s="155">
        <f t="shared" si="16"/>
        <v>1.5090000000000001E-2</v>
      </c>
      <c r="H191" s="155">
        <f t="shared" si="17"/>
        <v>15.090000000000002</v>
      </c>
    </row>
    <row r="192" spans="2:8" s="152" customFormat="1" x14ac:dyDescent="0.2">
      <c r="B192" s="176" t="s">
        <v>1704</v>
      </c>
      <c r="C192" s="161"/>
      <c r="D192" s="155">
        <f t="shared" si="14"/>
        <v>8.0000000000000002E-3</v>
      </c>
      <c r="E192" s="155"/>
      <c r="F192" s="181">
        <v>5000</v>
      </c>
      <c r="G192" s="155">
        <f t="shared" si="16"/>
        <v>8.0000000000000002E-3</v>
      </c>
      <c r="H192" s="155">
        <f t="shared" si="17"/>
        <v>40</v>
      </c>
    </row>
    <row r="193" spans="2:8" s="152" customFormat="1" ht="11.25" customHeight="1" x14ac:dyDescent="0.2">
      <c r="B193" s="176"/>
      <c r="C193" s="161"/>
      <c r="D193" s="155" t="str">
        <f t="shared" si="14"/>
        <v/>
      </c>
      <c r="E193" s="155"/>
      <c r="F193" s="181"/>
      <c r="G193" s="155" t="str">
        <f t="shared" si="16"/>
        <v/>
      </c>
      <c r="H193" s="155" t="str">
        <f t="shared" si="17"/>
        <v/>
      </c>
    </row>
    <row r="194" spans="2:8" s="152" customFormat="1" ht="11.25" customHeight="1" x14ac:dyDescent="0.2">
      <c r="B194" s="176"/>
      <c r="C194" s="161"/>
      <c r="D194" s="155" t="str">
        <f t="shared" si="14"/>
        <v/>
      </c>
      <c r="E194" s="155"/>
      <c r="F194" s="181"/>
      <c r="G194" s="155" t="str">
        <f t="shared" si="16"/>
        <v/>
      </c>
      <c r="H194" s="155" t="str">
        <f t="shared" si="17"/>
        <v/>
      </c>
    </row>
    <row r="195" spans="2:8" s="152" customFormat="1" ht="11.25" customHeight="1" x14ac:dyDescent="0.2">
      <c r="B195" s="176"/>
      <c r="C195" s="156"/>
      <c r="D195" s="155" t="str">
        <f t="shared" si="14"/>
        <v/>
      </c>
      <c r="E195" s="155"/>
      <c r="F195" s="181"/>
      <c r="G195" s="155" t="str">
        <f t="shared" si="16"/>
        <v/>
      </c>
      <c r="H195" s="155" t="str">
        <f t="shared" si="17"/>
        <v/>
      </c>
    </row>
    <row r="196" spans="2:8" s="152" customFormat="1" ht="11.25" customHeight="1" x14ac:dyDescent="0.2">
      <c r="B196" s="176"/>
      <c r="C196" s="156"/>
      <c r="D196" s="155" t="str">
        <f t="shared" si="14"/>
        <v/>
      </c>
      <c r="E196" s="155"/>
      <c r="F196" s="181"/>
      <c r="G196" s="155" t="str">
        <f t="shared" si="16"/>
        <v/>
      </c>
      <c r="H196" s="155" t="str">
        <f t="shared" si="17"/>
        <v/>
      </c>
    </row>
    <row r="197" spans="2:8" s="152" customFormat="1" ht="11.25" customHeight="1" x14ac:dyDescent="0.2">
      <c r="B197" s="176"/>
      <c r="C197" s="156"/>
      <c r="D197" s="155" t="str">
        <f t="shared" si="14"/>
        <v/>
      </c>
      <c r="E197" s="155"/>
      <c r="F197" s="181"/>
      <c r="G197" s="155" t="str">
        <f t="shared" si="16"/>
        <v/>
      </c>
      <c r="H197" s="155" t="str">
        <f t="shared" si="17"/>
        <v/>
      </c>
    </row>
    <row r="198" spans="2:8" s="152" customFormat="1" ht="11.25" customHeight="1" x14ac:dyDescent="0.2">
      <c r="B198" s="176"/>
      <c r="C198" s="156"/>
      <c r="D198" s="155" t="str">
        <f t="shared" si="14"/>
        <v/>
      </c>
      <c r="E198" s="155"/>
      <c r="F198" s="181"/>
      <c r="G198" s="155" t="str">
        <f t="shared" si="16"/>
        <v/>
      </c>
      <c r="H198" s="155" t="str">
        <f t="shared" si="17"/>
        <v/>
      </c>
    </row>
    <row r="199" spans="2:8" s="152" customFormat="1" ht="11.25" customHeight="1" x14ac:dyDescent="0.2">
      <c r="B199" s="176"/>
      <c r="C199" s="156"/>
      <c r="D199" s="155" t="str">
        <f t="shared" si="14"/>
        <v/>
      </c>
      <c r="E199" s="155"/>
      <c r="F199" s="181"/>
      <c r="G199" s="155" t="str">
        <f t="shared" si="16"/>
        <v/>
      </c>
      <c r="H199" s="155" t="str">
        <f t="shared" si="17"/>
        <v/>
      </c>
    </row>
    <row r="200" spans="2:8" ht="11.25" customHeight="1" x14ac:dyDescent="0.2">
      <c r="B200" s="177"/>
      <c r="C200" s="128"/>
      <c r="D200" s="155" t="str">
        <f t="shared" si="14"/>
        <v/>
      </c>
      <c r="E200" s="136"/>
      <c r="F200" s="182"/>
      <c r="G200" s="155" t="str">
        <f t="shared" si="16"/>
        <v/>
      </c>
      <c r="H200" s="155" t="str">
        <f t="shared" si="17"/>
        <v/>
      </c>
    </row>
    <row r="201" spans="2:8" ht="11.25" customHeight="1" x14ac:dyDescent="0.2">
      <c r="B201" s="177"/>
      <c r="C201" s="128"/>
      <c r="D201" s="155" t="str">
        <f t="shared" si="14"/>
        <v/>
      </c>
      <c r="E201" s="136"/>
      <c r="F201" s="182"/>
      <c r="G201" s="155" t="str">
        <f t="shared" si="16"/>
        <v/>
      </c>
      <c r="H201" s="155" t="str">
        <f t="shared" si="17"/>
        <v/>
      </c>
    </row>
    <row r="202" spans="2:8" ht="11.25" customHeight="1" x14ac:dyDescent="0.2">
      <c r="B202" s="177"/>
      <c r="C202" s="128"/>
      <c r="D202" s="155" t="str">
        <f t="shared" si="14"/>
        <v/>
      </c>
      <c r="E202" s="136" t="str">
        <f t="shared" ref="E202:E220" si="18">IF(C202=0,"",C202*D202)</f>
        <v/>
      </c>
      <c r="F202" s="182"/>
      <c r="G202" s="155" t="str">
        <f t="shared" si="16"/>
        <v/>
      </c>
      <c r="H202" s="155" t="str">
        <f t="shared" si="17"/>
        <v/>
      </c>
    </row>
    <row r="203" spans="2:8" ht="11.25" customHeight="1" x14ac:dyDescent="0.2">
      <c r="B203" s="177"/>
      <c r="C203" s="128"/>
      <c r="D203" s="155" t="str">
        <f t="shared" si="14"/>
        <v/>
      </c>
      <c r="E203" s="136" t="str">
        <f t="shared" si="18"/>
        <v/>
      </c>
      <c r="F203" s="182"/>
      <c r="G203" s="155" t="str">
        <f t="shared" si="16"/>
        <v/>
      </c>
      <c r="H203" s="155" t="str">
        <f t="shared" si="17"/>
        <v/>
      </c>
    </row>
    <row r="204" spans="2:8" ht="11.25" customHeight="1" x14ac:dyDescent="0.2">
      <c r="B204" s="177"/>
      <c r="C204" s="128"/>
      <c r="D204" s="155" t="str">
        <f t="shared" si="14"/>
        <v/>
      </c>
      <c r="E204" s="136" t="str">
        <f t="shared" si="18"/>
        <v/>
      </c>
      <c r="F204" s="182"/>
      <c r="G204" s="155" t="str">
        <f t="shared" si="16"/>
        <v/>
      </c>
      <c r="H204" s="155" t="str">
        <f t="shared" si="17"/>
        <v/>
      </c>
    </row>
    <row r="205" spans="2:8" ht="11.25" customHeight="1" x14ac:dyDescent="0.2">
      <c r="B205" s="177"/>
      <c r="C205" s="128"/>
      <c r="D205" s="155" t="str">
        <f t="shared" si="14"/>
        <v/>
      </c>
      <c r="E205" s="136" t="str">
        <f t="shared" si="18"/>
        <v/>
      </c>
      <c r="F205" s="182"/>
      <c r="G205" s="155" t="str">
        <f t="shared" si="16"/>
        <v/>
      </c>
      <c r="H205" s="155" t="str">
        <f t="shared" si="17"/>
        <v/>
      </c>
    </row>
    <row r="206" spans="2:8" ht="11.25" customHeight="1" x14ac:dyDescent="0.2">
      <c r="B206" s="177"/>
      <c r="C206" s="128"/>
      <c r="D206" s="155" t="str">
        <f t="shared" si="14"/>
        <v/>
      </c>
      <c r="E206" s="136" t="str">
        <f t="shared" si="18"/>
        <v/>
      </c>
      <c r="F206" s="182"/>
      <c r="G206" s="155" t="str">
        <f t="shared" si="16"/>
        <v/>
      </c>
      <c r="H206" s="155" t="str">
        <f t="shared" si="17"/>
        <v/>
      </c>
    </row>
    <row r="207" spans="2:8" ht="11.25" customHeight="1" x14ac:dyDescent="0.2">
      <c r="B207" s="177"/>
      <c r="C207" s="128"/>
      <c r="D207" s="155" t="str">
        <f t="shared" si="14"/>
        <v/>
      </c>
      <c r="E207" s="136" t="str">
        <f t="shared" si="18"/>
        <v/>
      </c>
      <c r="F207" s="182"/>
      <c r="G207" s="155" t="str">
        <f t="shared" si="16"/>
        <v/>
      </c>
      <c r="H207" s="155" t="str">
        <f t="shared" si="17"/>
        <v/>
      </c>
    </row>
    <row r="208" spans="2:8" ht="11.25" customHeight="1" x14ac:dyDescent="0.2">
      <c r="B208" s="177"/>
      <c r="C208" s="128"/>
      <c r="D208" s="155" t="str">
        <f t="shared" si="14"/>
        <v/>
      </c>
      <c r="E208" s="136" t="str">
        <f t="shared" si="18"/>
        <v/>
      </c>
      <c r="F208" s="182"/>
      <c r="G208" s="155" t="str">
        <f t="shared" si="16"/>
        <v/>
      </c>
      <c r="H208" s="155" t="str">
        <f t="shared" si="17"/>
        <v/>
      </c>
    </row>
    <row r="209" spans="1:8" ht="11.25" customHeight="1" x14ac:dyDescent="0.2">
      <c r="B209" s="177"/>
      <c r="C209" s="128"/>
      <c r="D209" s="155" t="str">
        <f t="shared" si="14"/>
        <v/>
      </c>
      <c r="E209" s="136" t="str">
        <f t="shared" si="18"/>
        <v/>
      </c>
      <c r="F209" s="182"/>
      <c r="G209" s="155" t="str">
        <f t="shared" si="16"/>
        <v/>
      </c>
      <c r="H209" s="155" t="str">
        <f t="shared" si="17"/>
        <v/>
      </c>
    </row>
    <row r="210" spans="1:8" ht="11.25" customHeight="1" x14ac:dyDescent="0.2">
      <c r="B210" s="177"/>
      <c r="C210" s="128"/>
      <c r="D210" s="155" t="str">
        <f t="shared" si="14"/>
        <v/>
      </c>
      <c r="E210" s="136" t="str">
        <f t="shared" si="18"/>
        <v/>
      </c>
      <c r="F210" s="182"/>
      <c r="G210" s="155" t="str">
        <f t="shared" si="16"/>
        <v/>
      </c>
      <c r="H210" s="155" t="str">
        <f t="shared" si="17"/>
        <v/>
      </c>
    </row>
    <row r="211" spans="1:8" ht="11.25" customHeight="1" x14ac:dyDescent="0.2">
      <c r="B211" s="177"/>
      <c r="C211" s="128"/>
      <c r="D211" s="155" t="str">
        <f t="shared" si="14"/>
        <v/>
      </c>
      <c r="E211" s="136" t="str">
        <f t="shared" si="18"/>
        <v/>
      </c>
      <c r="F211" s="182"/>
      <c r="G211" s="155" t="str">
        <f t="shared" si="16"/>
        <v/>
      </c>
      <c r="H211" s="155" t="str">
        <f t="shared" si="17"/>
        <v/>
      </c>
    </row>
    <row r="212" spans="1:8" ht="11.25" customHeight="1" x14ac:dyDescent="0.2">
      <c r="B212" s="177"/>
      <c r="C212" s="128"/>
      <c r="D212" s="155" t="str">
        <f t="shared" si="14"/>
        <v/>
      </c>
      <c r="E212" s="136" t="str">
        <f t="shared" si="18"/>
        <v/>
      </c>
      <c r="F212" s="182"/>
      <c r="G212" s="155" t="str">
        <f t="shared" si="16"/>
        <v/>
      </c>
      <c r="H212" s="155" t="str">
        <f t="shared" si="17"/>
        <v/>
      </c>
    </row>
    <row r="213" spans="1:8" ht="11.25" customHeight="1" x14ac:dyDescent="0.2">
      <c r="B213" s="177"/>
      <c r="C213" s="128"/>
      <c r="D213" s="155" t="str">
        <f t="shared" si="14"/>
        <v/>
      </c>
      <c r="E213" s="136" t="str">
        <f t="shared" si="18"/>
        <v/>
      </c>
      <c r="F213" s="182"/>
      <c r="G213" s="155" t="str">
        <f t="shared" si="16"/>
        <v/>
      </c>
      <c r="H213" s="155" t="str">
        <f t="shared" si="17"/>
        <v/>
      </c>
    </row>
    <row r="214" spans="1:8" ht="11.25" customHeight="1" x14ac:dyDescent="0.2">
      <c r="B214" s="177"/>
      <c r="C214" s="128"/>
      <c r="D214" s="155" t="str">
        <f t="shared" si="14"/>
        <v/>
      </c>
      <c r="E214" s="136" t="str">
        <f t="shared" si="18"/>
        <v/>
      </c>
      <c r="F214" s="182"/>
      <c r="G214" s="155" t="str">
        <f t="shared" si="16"/>
        <v/>
      </c>
      <c r="H214" s="155" t="str">
        <f t="shared" si="17"/>
        <v/>
      </c>
    </row>
    <row r="215" spans="1:8" ht="11.25" customHeight="1" x14ac:dyDescent="0.2">
      <c r="B215" s="177"/>
      <c r="C215" s="128"/>
      <c r="D215" s="155" t="str">
        <f t="shared" si="14"/>
        <v/>
      </c>
      <c r="E215" s="136" t="str">
        <f t="shared" si="18"/>
        <v/>
      </c>
      <c r="F215" s="182"/>
      <c r="G215" s="155" t="str">
        <f t="shared" si="16"/>
        <v/>
      </c>
      <c r="H215" s="155" t="str">
        <f t="shared" si="17"/>
        <v/>
      </c>
    </row>
    <row r="216" spans="1:8" ht="11.25" customHeight="1" x14ac:dyDescent="0.2">
      <c r="B216" s="177"/>
      <c r="C216" s="128"/>
      <c r="D216" s="155" t="str">
        <f t="shared" si="14"/>
        <v/>
      </c>
      <c r="E216" s="136" t="str">
        <f t="shared" si="18"/>
        <v/>
      </c>
      <c r="F216" s="182"/>
      <c r="G216" s="155" t="str">
        <f t="shared" si="16"/>
        <v/>
      </c>
      <c r="H216" s="155" t="str">
        <f t="shared" si="17"/>
        <v/>
      </c>
    </row>
    <row r="217" spans="1:8" ht="11.25" customHeight="1" x14ac:dyDescent="0.2">
      <c r="B217" s="177"/>
      <c r="C217" s="128"/>
      <c r="D217" s="155" t="str">
        <f t="shared" si="14"/>
        <v/>
      </c>
      <c r="E217" s="136" t="str">
        <f t="shared" si="18"/>
        <v/>
      </c>
      <c r="F217" s="182"/>
      <c r="G217" s="155" t="str">
        <f t="shared" si="16"/>
        <v/>
      </c>
      <c r="H217" s="155" t="str">
        <f t="shared" si="17"/>
        <v/>
      </c>
    </row>
    <row r="218" spans="1:8" ht="11.25" customHeight="1" x14ac:dyDescent="0.2">
      <c r="B218" s="177"/>
      <c r="C218" s="128"/>
      <c r="D218" s="155" t="str">
        <f t="shared" si="14"/>
        <v/>
      </c>
      <c r="E218" s="136" t="str">
        <f t="shared" si="18"/>
        <v/>
      </c>
      <c r="F218" s="182"/>
      <c r="G218" s="155" t="str">
        <f t="shared" si="16"/>
        <v/>
      </c>
      <c r="H218" s="155" t="str">
        <f t="shared" si="17"/>
        <v/>
      </c>
    </row>
    <row r="219" spans="1:8" ht="11.25" customHeight="1" x14ac:dyDescent="0.2">
      <c r="B219" s="177"/>
      <c r="C219" s="128"/>
      <c r="D219" s="155" t="str">
        <f t="shared" si="14"/>
        <v/>
      </c>
      <c r="E219" s="136" t="str">
        <f t="shared" si="18"/>
        <v/>
      </c>
      <c r="F219" s="182"/>
      <c r="G219" s="155" t="str">
        <f t="shared" si="16"/>
        <v/>
      </c>
      <c r="H219" s="155" t="str">
        <f t="shared" si="17"/>
        <v/>
      </c>
    </row>
    <row r="220" spans="1:8" ht="12" customHeight="1" thickBot="1" x14ac:dyDescent="0.25">
      <c r="B220" s="178"/>
      <c r="C220" s="129"/>
      <c r="D220" s="155" t="str">
        <f t="shared" si="14"/>
        <v/>
      </c>
      <c r="E220" s="138" t="str">
        <f t="shared" si="18"/>
        <v/>
      </c>
      <c r="F220" s="183"/>
      <c r="G220" s="155" t="str">
        <f t="shared" si="16"/>
        <v/>
      </c>
      <c r="H220" s="155" t="str">
        <f t="shared" si="17"/>
        <v/>
      </c>
    </row>
    <row r="221" spans="1:8" ht="12.75" customHeight="1" thickBot="1" x14ac:dyDescent="0.25">
      <c r="A221" s="159"/>
      <c r="B221" s="141" t="s">
        <v>831</v>
      </c>
      <c r="C221" s="127"/>
      <c r="D221" s="164"/>
      <c r="E221" s="137">
        <f>SUM(E182:E220)</f>
        <v>228</v>
      </c>
      <c r="F221" s="162" t="s">
        <v>831</v>
      </c>
      <c r="G221" s="127"/>
      <c r="H221" s="137">
        <f>SUM(H182:H220)</f>
        <v>353.47999999999996</v>
      </c>
    </row>
    <row r="222" spans="1:8" ht="12.75" customHeight="1" thickBot="1" x14ac:dyDescent="0.25">
      <c r="A222" s="159"/>
      <c r="B222" s="141" t="s">
        <v>832</v>
      </c>
      <c r="C222" s="127"/>
      <c r="D222" s="127"/>
      <c r="E222" s="147">
        <f>E221*10/100</f>
        <v>22.8</v>
      </c>
      <c r="F222" s="165" t="s">
        <v>832</v>
      </c>
      <c r="G222" s="146"/>
      <c r="H222" s="137">
        <f>H221*10/100</f>
        <v>35.347999999999999</v>
      </c>
    </row>
    <row r="223" spans="1:8" ht="12.75" customHeight="1" thickBot="1" x14ac:dyDescent="0.25">
      <c r="A223" s="159"/>
      <c r="B223" s="141" t="s">
        <v>24</v>
      </c>
      <c r="C223" s="127"/>
      <c r="D223" s="127"/>
      <c r="E223" s="136">
        <f>E221+E222</f>
        <v>250.8</v>
      </c>
      <c r="F223" s="162" t="s">
        <v>24</v>
      </c>
      <c r="G223" s="146"/>
      <c r="H223" s="137">
        <f>H221+H222</f>
        <v>388.82799999999997</v>
      </c>
    </row>
    <row r="224" spans="1:8" ht="12.75" customHeight="1" thickBot="1" x14ac:dyDescent="0.25">
      <c r="B224" s="149" t="s">
        <v>10</v>
      </c>
      <c r="C224" s="127"/>
      <c r="D224" s="127"/>
      <c r="E224" s="166">
        <v>45</v>
      </c>
      <c r="F224" s="162" t="s">
        <v>10</v>
      </c>
      <c r="G224" s="127"/>
      <c r="H224" s="184">
        <v>26</v>
      </c>
    </row>
    <row r="225" spans="2:8" ht="12.75" customHeight="1" thickBot="1" x14ac:dyDescent="0.25">
      <c r="B225" s="150" t="s">
        <v>1261</v>
      </c>
      <c r="C225" s="127"/>
      <c r="D225" s="127"/>
      <c r="E225" s="163">
        <f>E223/E224</f>
        <v>5.5733333333333333</v>
      </c>
      <c r="F225" s="162" t="s">
        <v>1261</v>
      </c>
      <c r="G225" s="127"/>
      <c r="H225" s="137">
        <f>H223/H224</f>
        <v>14.954923076923077</v>
      </c>
    </row>
    <row r="226" spans="2:8" ht="12" customHeight="1" thickBot="1" x14ac:dyDescent="0.25">
      <c r="B226" s="130" t="s">
        <v>48</v>
      </c>
      <c r="C226" s="221" t="s">
        <v>1848</v>
      </c>
      <c r="D226" s="222"/>
      <c r="E226" s="222"/>
      <c r="F226" s="222"/>
      <c r="G226" s="222"/>
      <c r="H226" s="223"/>
    </row>
    <row r="227" spans="2:8" ht="12" customHeight="1" thickBot="1" x14ac:dyDescent="0.25">
      <c r="B227" s="130" t="s">
        <v>15</v>
      </c>
      <c r="C227" s="224" t="s">
        <v>1791</v>
      </c>
      <c r="D227" s="225"/>
      <c r="E227" s="225"/>
      <c r="F227" s="225"/>
      <c r="G227" s="225"/>
      <c r="H227" s="226"/>
    </row>
    <row r="228" spans="2:8" ht="12" customHeight="1" thickBot="1" x14ac:dyDescent="0.25">
      <c r="B228" s="130" t="s">
        <v>16</v>
      </c>
      <c r="C228" s="224" t="s">
        <v>1849</v>
      </c>
      <c r="D228" s="225"/>
      <c r="E228" s="225"/>
      <c r="F228" s="225"/>
      <c r="G228" s="225"/>
      <c r="H228" s="226"/>
    </row>
    <row r="229" spans="2:8" ht="12" customHeight="1" thickBot="1" x14ac:dyDescent="0.25">
      <c r="B229" s="130" t="s">
        <v>17</v>
      </c>
      <c r="C229" s="224" t="s">
        <v>1820</v>
      </c>
      <c r="D229" s="225"/>
      <c r="E229" s="225"/>
      <c r="F229" s="225"/>
      <c r="G229" s="225"/>
      <c r="H229" s="226"/>
    </row>
    <row r="230" spans="2:8" ht="12" customHeight="1" thickBot="1" x14ac:dyDescent="0.25">
      <c r="B230" s="130" t="s">
        <v>18</v>
      </c>
      <c r="C230" s="224" t="s">
        <v>1851</v>
      </c>
      <c r="D230" s="225"/>
      <c r="E230" s="225"/>
      <c r="F230" s="225"/>
      <c r="G230" s="225"/>
      <c r="H230" s="226"/>
    </row>
    <row r="231" spans="2:8" ht="12" customHeight="1" thickBot="1" x14ac:dyDescent="0.25">
      <c r="B231" s="130" t="s">
        <v>49</v>
      </c>
      <c r="C231" s="224" t="s">
        <v>1850</v>
      </c>
      <c r="D231" s="225"/>
      <c r="E231" s="225"/>
      <c r="F231" s="225"/>
      <c r="G231" s="225"/>
      <c r="H231" s="226"/>
    </row>
    <row r="232" spans="2:8" ht="12" customHeight="1" thickBot="1" x14ac:dyDescent="0.25">
      <c r="B232" s="130" t="s">
        <v>51</v>
      </c>
      <c r="C232" s="224"/>
      <c r="D232" s="225"/>
      <c r="E232" s="225"/>
      <c r="F232" s="225"/>
      <c r="G232" s="225"/>
      <c r="H232" s="226"/>
    </row>
    <row r="233" spans="2:8" ht="12" customHeight="1" thickBot="1" x14ac:dyDescent="0.25">
      <c r="B233" s="130" t="s">
        <v>47</v>
      </c>
      <c r="C233" s="224"/>
      <c r="D233" s="225"/>
      <c r="E233" s="225"/>
      <c r="F233" s="225"/>
      <c r="G233" s="225"/>
      <c r="H233" s="226"/>
    </row>
    <row r="234" spans="2:8" ht="12" customHeight="1" thickBot="1" x14ac:dyDescent="0.25">
      <c r="B234" s="130" t="s">
        <v>50</v>
      </c>
      <c r="C234" s="209"/>
      <c r="D234" s="210"/>
      <c r="E234" s="210"/>
      <c r="F234" s="210"/>
      <c r="G234" s="210"/>
      <c r="H234" s="211"/>
    </row>
    <row r="235" spans="2:8" ht="12" customHeight="1" thickBot="1" x14ac:dyDescent="0.25">
      <c r="C235" s="188"/>
      <c r="D235" s="188"/>
      <c r="E235" s="188"/>
      <c r="F235" s="188"/>
      <c r="G235" s="188"/>
      <c r="H235" s="188"/>
    </row>
    <row r="236" spans="2:8" ht="21.75" customHeight="1" thickBot="1" x14ac:dyDescent="0.4">
      <c r="B236" s="212" t="s">
        <v>1262</v>
      </c>
      <c r="C236" s="213"/>
      <c r="D236" s="213"/>
      <c r="E236" s="213"/>
      <c r="F236" s="213"/>
      <c r="G236" s="213"/>
      <c r="H236" s="214"/>
    </row>
    <row r="237" spans="2:8" ht="12" customHeight="1" thickBot="1" x14ac:dyDescent="0.25">
      <c r="B237" s="215" t="s">
        <v>12</v>
      </c>
      <c r="C237" s="216"/>
      <c r="D237" s="216"/>
      <c r="E237" s="217"/>
      <c r="F237" s="218" t="s">
        <v>13</v>
      </c>
      <c r="G237" s="219"/>
      <c r="H237" s="220"/>
    </row>
    <row r="238" spans="2:8" ht="12" customHeight="1" thickBot="1" x14ac:dyDescent="0.25">
      <c r="B238" s="131" t="s">
        <v>19</v>
      </c>
      <c r="C238" s="131" t="s">
        <v>20</v>
      </c>
      <c r="D238" s="131" t="s">
        <v>21</v>
      </c>
      <c r="E238" s="131" t="s">
        <v>22</v>
      </c>
      <c r="F238" s="134" t="s">
        <v>20</v>
      </c>
      <c r="G238" s="134" t="s">
        <v>21</v>
      </c>
      <c r="H238" s="134" t="s">
        <v>22</v>
      </c>
    </row>
    <row r="239" spans="2:8" s="152" customFormat="1" ht="11.25" customHeight="1" x14ac:dyDescent="0.2">
      <c r="B239" s="176" t="s">
        <v>1857</v>
      </c>
      <c r="C239" s="153"/>
      <c r="D239" s="154">
        <f t="shared" ref="D239:D271" si="19">IF(B239="","",VLOOKUP(B239,INVENTARIO,2))</f>
        <v>7.2</v>
      </c>
      <c r="E239" s="154" t="str">
        <f>IF(C239=0,"",C239*D239)</f>
        <v/>
      </c>
      <c r="F239" s="185">
        <v>8</v>
      </c>
      <c r="G239" s="154">
        <f>D239</f>
        <v>7.2</v>
      </c>
      <c r="H239" s="155">
        <f>IF(F239=0,"",F239*G239)</f>
        <v>57.6</v>
      </c>
    </row>
    <row r="240" spans="2:8" s="152" customFormat="1" ht="11.25" customHeight="1" x14ac:dyDescent="0.2">
      <c r="B240" s="176" t="s">
        <v>1752</v>
      </c>
      <c r="C240" s="156"/>
      <c r="D240" s="155">
        <f t="shared" si="19"/>
        <v>6.7033333333333331</v>
      </c>
      <c r="E240" s="155" t="str">
        <f t="shared" ref="E240:E271" si="20">IF(C240=0,"",C240*D240)</f>
        <v/>
      </c>
      <c r="F240" s="181">
        <v>12</v>
      </c>
      <c r="G240" s="155">
        <f t="shared" ref="G240:G271" si="21">D240</f>
        <v>6.7033333333333331</v>
      </c>
      <c r="H240" s="155">
        <f t="shared" ref="H240:H271" si="22">IF(F240=0,"",F240*G240)</f>
        <v>80.44</v>
      </c>
    </row>
    <row r="241" spans="2:8" s="152" customFormat="1" ht="11.25" customHeight="1" x14ac:dyDescent="0.2">
      <c r="B241" s="176" t="s">
        <v>1753</v>
      </c>
      <c r="C241" s="156"/>
      <c r="D241" s="155">
        <f t="shared" si="19"/>
        <v>4.55</v>
      </c>
      <c r="E241" s="155" t="str">
        <f t="shared" si="20"/>
        <v/>
      </c>
      <c r="F241" s="181">
        <f>5*24</f>
        <v>120</v>
      </c>
      <c r="G241" s="155">
        <f t="shared" si="21"/>
        <v>4.55</v>
      </c>
      <c r="H241" s="155">
        <f t="shared" si="22"/>
        <v>546</v>
      </c>
    </row>
    <row r="242" spans="2:8" s="152" customFormat="1" ht="11.25" customHeight="1" x14ac:dyDescent="0.2">
      <c r="B242" s="176" t="s">
        <v>1756</v>
      </c>
      <c r="C242" s="156"/>
      <c r="D242" s="155">
        <f t="shared" si="19"/>
        <v>22.95</v>
      </c>
      <c r="E242" s="155" t="str">
        <f t="shared" si="20"/>
        <v/>
      </c>
      <c r="F242" s="181">
        <v>3</v>
      </c>
      <c r="G242" s="155">
        <f t="shared" si="21"/>
        <v>22.95</v>
      </c>
      <c r="H242" s="155">
        <f t="shared" si="22"/>
        <v>68.849999999999994</v>
      </c>
    </row>
    <row r="243" spans="2:8" s="152" customFormat="1" ht="11.25" customHeight="1" x14ac:dyDescent="0.2">
      <c r="B243" s="176" t="s">
        <v>1757</v>
      </c>
      <c r="C243" s="156"/>
      <c r="D243" s="155">
        <f t="shared" si="19"/>
        <v>23.1</v>
      </c>
      <c r="E243" s="155" t="str">
        <f t="shared" si="20"/>
        <v/>
      </c>
      <c r="F243" s="181">
        <v>1</v>
      </c>
      <c r="G243" s="155">
        <f t="shared" si="21"/>
        <v>23.1</v>
      </c>
      <c r="H243" s="155">
        <f t="shared" si="22"/>
        <v>23.1</v>
      </c>
    </row>
    <row r="244" spans="2:8" s="152" customFormat="1" ht="11.25" customHeight="1" x14ac:dyDescent="0.2">
      <c r="B244" s="176" t="s">
        <v>1758</v>
      </c>
      <c r="C244" s="156"/>
      <c r="D244" s="155">
        <f t="shared" si="19"/>
        <v>17.190000000000001</v>
      </c>
      <c r="E244" s="155" t="str">
        <f t="shared" si="20"/>
        <v/>
      </c>
      <c r="F244" s="181">
        <v>1</v>
      </c>
      <c r="G244" s="155">
        <f t="shared" si="21"/>
        <v>17.190000000000001</v>
      </c>
      <c r="H244" s="155">
        <f t="shared" si="22"/>
        <v>17.190000000000001</v>
      </c>
    </row>
    <row r="245" spans="2:8" s="152" customFormat="1" ht="11.25" customHeight="1" x14ac:dyDescent="0.2">
      <c r="B245" s="176" t="s">
        <v>1855</v>
      </c>
      <c r="C245" s="156"/>
      <c r="D245" s="155">
        <f t="shared" si="19"/>
        <v>13</v>
      </c>
      <c r="E245" s="155" t="str">
        <f t="shared" si="20"/>
        <v/>
      </c>
      <c r="F245" s="181">
        <v>1</v>
      </c>
      <c r="G245" s="155">
        <f t="shared" si="21"/>
        <v>13</v>
      </c>
      <c r="H245" s="155">
        <f t="shared" si="22"/>
        <v>13</v>
      </c>
    </row>
    <row r="246" spans="2:8" s="152" customFormat="1" x14ac:dyDescent="0.2">
      <c r="B246" s="176" t="s">
        <v>1759</v>
      </c>
      <c r="C246" s="156"/>
      <c r="D246" s="155">
        <f t="shared" si="19"/>
        <v>10.72</v>
      </c>
      <c r="E246" s="155" t="str">
        <f t="shared" si="20"/>
        <v/>
      </c>
      <c r="F246" s="181">
        <v>2</v>
      </c>
      <c r="G246" s="155">
        <f t="shared" si="21"/>
        <v>10.72</v>
      </c>
      <c r="H246" s="155">
        <f t="shared" si="22"/>
        <v>21.44</v>
      </c>
    </row>
    <row r="247" spans="2:8" s="152" customFormat="1" ht="11.25" customHeight="1" x14ac:dyDescent="0.2">
      <c r="B247" s="176" t="s">
        <v>1760</v>
      </c>
      <c r="C247" s="156"/>
      <c r="D247" s="155">
        <f t="shared" si="19"/>
        <v>10.73</v>
      </c>
      <c r="E247" s="155" t="str">
        <f t="shared" si="20"/>
        <v/>
      </c>
      <c r="F247" s="181">
        <v>2</v>
      </c>
      <c r="G247" s="155">
        <f t="shared" si="21"/>
        <v>10.73</v>
      </c>
      <c r="H247" s="155">
        <f t="shared" si="22"/>
        <v>21.46</v>
      </c>
    </row>
    <row r="248" spans="2:8" s="152" customFormat="1" ht="11.25" customHeight="1" x14ac:dyDescent="0.2">
      <c r="B248" s="176" t="s">
        <v>1761</v>
      </c>
      <c r="C248" s="156"/>
      <c r="D248" s="155">
        <f t="shared" si="19"/>
        <v>8.7899999999999991</v>
      </c>
      <c r="E248" s="155" t="str">
        <f t="shared" si="20"/>
        <v/>
      </c>
      <c r="F248" s="181">
        <v>2</v>
      </c>
      <c r="G248" s="155">
        <f t="shared" si="21"/>
        <v>8.7899999999999991</v>
      </c>
      <c r="H248" s="155">
        <f t="shared" si="22"/>
        <v>17.579999999999998</v>
      </c>
    </row>
    <row r="249" spans="2:8" s="152" customFormat="1" ht="11.25" customHeight="1" x14ac:dyDescent="0.2">
      <c r="B249" s="176" t="s">
        <v>1762</v>
      </c>
      <c r="C249" s="156"/>
      <c r="D249" s="155">
        <f t="shared" si="19"/>
        <v>7.66</v>
      </c>
      <c r="E249" s="155" t="str">
        <f t="shared" si="20"/>
        <v/>
      </c>
      <c r="F249" s="181">
        <v>2</v>
      </c>
      <c r="G249" s="155">
        <f t="shared" si="21"/>
        <v>7.66</v>
      </c>
      <c r="H249" s="155">
        <f t="shared" si="22"/>
        <v>15.32</v>
      </c>
    </row>
    <row r="250" spans="2:8" s="152" customFormat="1" ht="11.25" customHeight="1" x14ac:dyDescent="0.2">
      <c r="B250" s="176" t="s">
        <v>1763</v>
      </c>
      <c r="C250" s="156"/>
      <c r="D250" s="155">
        <f t="shared" si="19"/>
        <v>1.7770000000000001E-2</v>
      </c>
      <c r="E250" s="155" t="str">
        <f t="shared" si="20"/>
        <v/>
      </c>
      <c r="F250" s="181">
        <v>6000</v>
      </c>
      <c r="G250" s="155">
        <f t="shared" si="21"/>
        <v>1.7770000000000001E-2</v>
      </c>
      <c r="H250" s="155">
        <f t="shared" si="22"/>
        <v>106.62</v>
      </c>
    </row>
    <row r="251" spans="2:8" s="152" customFormat="1" ht="11.25" customHeight="1" x14ac:dyDescent="0.2">
      <c r="B251" s="176" t="s">
        <v>1779</v>
      </c>
      <c r="C251" s="156"/>
      <c r="D251" s="155">
        <f t="shared" si="19"/>
        <v>5.55</v>
      </c>
      <c r="E251" s="155" t="str">
        <f t="shared" si="20"/>
        <v/>
      </c>
      <c r="F251" s="181">
        <v>10</v>
      </c>
      <c r="G251" s="155">
        <f t="shared" si="21"/>
        <v>5.55</v>
      </c>
      <c r="H251" s="155">
        <f t="shared" si="22"/>
        <v>55.5</v>
      </c>
    </row>
    <row r="252" spans="2:8" s="152" customFormat="1" ht="11.25" customHeight="1" x14ac:dyDescent="0.2">
      <c r="B252" s="176" t="s">
        <v>1801</v>
      </c>
      <c r="C252" s="156"/>
      <c r="D252" s="155">
        <f t="shared" si="19"/>
        <v>1.1339999999999999E-2</v>
      </c>
      <c r="E252" s="155" t="str">
        <f t="shared" si="20"/>
        <v/>
      </c>
      <c r="F252" s="181">
        <v>1000</v>
      </c>
      <c r="G252" s="155">
        <f t="shared" si="21"/>
        <v>1.1339999999999999E-2</v>
      </c>
      <c r="H252" s="155">
        <f t="shared" si="22"/>
        <v>11.34</v>
      </c>
    </row>
    <row r="253" spans="2:8" s="152" customFormat="1" ht="11.25" customHeight="1" x14ac:dyDescent="0.2">
      <c r="B253" s="176" t="s">
        <v>1730</v>
      </c>
      <c r="C253" s="156"/>
      <c r="D253" s="155">
        <f t="shared" si="19"/>
        <v>5.2699999999999995E-3</v>
      </c>
      <c r="E253" s="155" t="str">
        <f t="shared" si="20"/>
        <v/>
      </c>
      <c r="F253" s="181">
        <v>500</v>
      </c>
      <c r="G253" s="155">
        <f t="shared" si="21"/>
        <v>5.2699999999999995E-3</v>
      </c>
      <c r="H253" s="155">
        <f t="shared" si="22"/>
        <v>2.6349999999999998</v>
      </c>
    </row>
    <row r="254" spans="2:8" s="152" customFormat="1" ht="11.25" customHeight="1" x14ac:dyDescent="0.2">
      <c r="B254" s="176" t="s">
        <v>1857</v>
      </c>
      <c r="C254" s="156"/>
      <c r="D254" s="155">
        <f t="shared" si="19"/>
        <v>7.2</v>
      </c>
      <c r="E254" s="155" t="str">
        <f t="shared" si="20"/>
        <v/>
      </c>
      <c r="F254" s="181">
        <v>4</v>
      </c>
      <c r="G254" s="155">
        <f t="shared" si="21"/>
        <v>7.2</v>
      </c>
      <c r="H254" s="155">
        <f t="shared" si="22"/>
        <v>28.8</v>
      </c>
    </row>
    <row r="255" spans="2:8" s="152" customFormat="1" ht="11.25" customHeight="1" x14ac:dyDescent="0.2">
      <c r="B255" s="176" t="s">
        <v>1780</v>
      </c>
      <c r="C255" s="156"/>
      <c r="D255" s="155">
        <f t="shared" si="19"/>
        <v>5.2999999999999999E-2</v>
      </c>
      <c r="E255" s="155" t="str">
        <f t="shared" si="20"/>
        <v/>
      </c>
      <c r="F255" s="181">
        <v>100</v>
      </c>
      <c r="G255" s="155">
        <f t="shared" si="21"/>
        <v>5.2999999999999999E-2</v>
      </c>
      <c r="H255" s="155">
        <f t="shared" si="22"/>
        <v>5.3</v>
      </c>
    </row>
    <row r="256" spans="2:8" s="152" customFormat="1" ht="11.25" customHeight="1" x14ac:dyDescent="0.2">
      <c r="B256" s="176" t="s">
        <v>1680</v>
      </c>
      <c r="C256" s="156"/>
      <c r="D256" s="155">
        <f t="shared" si="19"/>
        <v>1.5</v>
      </c>
      <c r="E256" s="155" t="str">
        <f t="shared" si="20"/>
        <v/>
      </c>
      <c r="F256" s="181">
        <v>10</v>
      </c>
      <c r="G256" s="155">
        <f t="shared" si="21"/>
        <v>1.5</v>
      </c>
      <c r="H256" s="155">
        <f t="shared" si="22"/>
        <v>15</v>
      </c>
    </row>
    <row r="257" spans="1:8" s="152" customFormat="1" ht="11.25" customHeight="1" thickBot="1" x14ac:dyDescent="0.25">
      <c r="B257" s="176" t="s">
        <v>1768</v>
      </c>
      <c r="C257" s="156"/>
      <c r="D257" s="155">
        <f t="shared" si="19"/>
        <v>3.3000000000000002E-2</v>
      </c>
      <c r="E257" s="155" t="str">
        <f t="shared" si="20"/>
        <v/>
      </c>
      <c r="F257" s="181">
        <v>2000</v>
      </c>
      <c r="G257" s="155">
        <f t="shared" si="21"/>
        <v>3.3000000000000002E-2</v>
      </c>
      <c r="H257" s="155">
        <f t="shared" si="22"/>
        <v>66</v>
      </c>
    </row>
    <row r="258" spans="1:8" s="152" customFormat="1" ht="11.25" customHeight="1" thickBot="1" x14ac:dyDescent="0.25">
      <c r="B258" s="175" t="s">
        <v>1672</v>
      </c>
      <c r="C258" s="156"/>
      <c r="D258" s="155">
        <f t="shared" si="19"/>
        <v>5.9819999999999998E-2</v>
      </c>
      <c r="E258" s="155" t="str">
        <f t="shared" si="20"/>
        <v/>
      </c>
      <c r="F258" s="181">
        <v>1000</v>
      </c>
      <c r="G258" s="155">
        <f t="shared" si="21"/>
        <v>5.9819999999999998E-2</v>
      </c>
      <c r="H258" s="155">
        <f t="shared" si="22"/>
        <v>59.82</v>
      </c>
    </row>
    <row r="259" spans="1:8" s="152" customFormat="1" ht="11.25" customHeight="1" x14ac:dyDescent="0.2">
      <c r="B259" s="175" t="s">
        <v>1817</v>
      </c>
      <c r="C259" s="156"/>
      <c r="D259" s="155">
        <f t="shared" si="19"/>
        <v>4.8210000000000003E-2</v>
      </c>
      <c r="E259" s="155" t="str">
        <f t="shared" si="20"/>
        <v/>
      </c>
      <c r="F259" s="181">
        <v>1000</v>
      </c>
      <c r="G259" s="155">
        <f t="shared" si="21"/>
        <v>4.8210000000000003E-2</v>
      </c>
      <c r="H259" s="155">
        <f t="shared" si="22"/>
        <v>48.21</v>
      </c>
    </row>
    <row r="260" spans="1:8" s="152" customFormat="1" ht="11.25" customHeight="1" thickBot="1" x14ac:dyDescent="0.25">
      <c r="B260" s="176" t="s">
        <v>1707</v>
      </c>
      <c r="C260" s="156"/>
      <c r="D260" s="155">
        <f t="shared" si="19"/>
        <v>11.74</v>
      </c>
      <c r="E260" s="155" t="str">
        <f t="shared" si="20"/>
        <v/>
      </c>
      <c r="F260" s="182">
        <v>10</v>
      </c>
      <c r="G260" s="155">
        <f t="shared" si="21"/>
        <v>11.74</v>
      </c>
      <c r="H260" s="155">
        <f t="shared" si="22"/>
        <v>117.4</v>
      </c>
    </row>
    <row r="261" spans="1:8" s="152" customFormat="1" ht="11.25" customHeight="1" thickBot="1" x14ac:dyDescent="0.25">
      <c r="B261" s="175"/>
      <c r="C261" s="156"/>
      <c r="D261" s="155" t="str">
        <f t="shared" si="19"/>
        <v/>
      </c>
      <c r="E261" s="155" t="str">
        <f t="shared" si="20"/>
        <v/>
      </c>
      <c r="F261" s="181"/>
      <c r="G261" s="155" t="str">
        <f t="shared" si="21"/>
        <v/>
      </c>
      <c r="H261" s="155" t="str">
        <f t="shared" si="22"/>
        <v/>
      </c>
    </row>
    <row r="262" spans="1:8" s="152" customFormat="1" ht="11.25" customHeight="1" x14ac:dyDescent="0.2">
      <c r="B262" s="175"/>
      <c r="C262" s="156"/>
      <c r="D262" s="155" t="str">
        <f t="shared" si="19"/>
        <v/>
      </c>
      <c r="E262" s="155" t="str">
        <f t="shared" si="20"/>
        <v/>
      </c>
      <c r="F262" s="181"/>
      <c r="G262" s="155" t="str">
        <f t="shared" si="21"/>
        <v/>
      </c>
      <c r="H262" s="155" t="str">
        <f t="shared" si="22"/>
        <v/>
      </c>
    </row>
    <row r="263" spans="1:8" ht="11.25" customHeight="1" x14ac:dyDescent="0.2">
      <c r="B263" s="176"/>
      <c r="C263" s="128"/>
      <c r="D263" s="136" t="str">
        <f t="shared" si="19"/>
        <v/>
      </c>
      <c r="E263" s="136" t="str">
        <f t="shared" si="20"/>
        <v/>
      </c>
      <c r="F263" s="182"/>
      <c r="G263" s="136" t="str">
        <f t="shared" si="21"/>
        <v/>
      </c>
      <c r="H263" s="136" t="str">
        <f t="shared" si="22"/>
        <v/>
      </c>
    </row>
    <row r="264" spans="1:8" ht="11.25" customHeight="1" x14ac:dyDescent="0.2">
      <c r="B264" s="177"/>
      <c r="C264" s="128"/>
      <c r="D264" s="136" t="str">
        <f t="shared" si="19"/>
        <v/>
      </c>
      <c r="E264" s="136" t="str">
        <f t="shared" si="20"/>
        <v/>
      </c>
      <c r="F264" s="182"/>
      <c r="G264" s="136" t="str">
        <f t="shared" si="21"/>
        <v/>
      </c>
      <c r="H264" s="136" t="str">
        <f t="shared" si="22"/>
        <v/>
      </c>
    </row>
    <row r="265" spans="1:8" ht="11.25" customHeight="1" x14ac:dyDescent="0.2">
      <c r="B265" s="177"/>
      <c r="C265" s="128"/>
      <c r="D265" s="136" t="str">
        <f t="shared" si="19"/>
        <v/>
      </c>
      <c r="E265" s="136" t="str">
        <f t="shared" si="20"/>
        <v/>
      </c>
      <c r="F265" s="182"/>
      <c r="G265" s="136" t="str">
        <f t="shared" si="21"/>
        <v/>
      </c>
      <c r="H265" s="136" t="str">
        <f t="shared" si="22"/>
        <v/>
      </c>
    </row>
    <row r="266" spans="1:8" ht="11.25" customHeight="1" x14ac:dyDescent="0.2">
      <c r="B266" s="177"/>
      <c r="C266" s="128"/>
      <c r="D266" s="136" t="str">
        <f t="shared" si="19"/>
        <v/>
      </c>
      <c r="E266" s="136" t="str">
        <f t="shared" si="20"/>
        <v/>
      </c>
      <c r="F266" s="182"/>
      <c r="G266" s="136" t="str">
        <f t="shared" si="21"/>
        <v/>
      </c>
      <c r="H266" s="136" t="str">
        <f t="shared" si="22"/>
        <v/>
      </c>
    </row>
    <row r="267" spans="1:8" ht="11.25" customHeight="1" x14ac:dyDescent="0.2">
      <c r="B267" s="177"/>
      <c r="C267" s="128"/>
      <c r="D267" s="136" t="str">
        <f t="shared" si="19"/>
        <v/>
      </c>
      <c r="E267" s="136" t="str">
        <f t="shared" si="20"/>
        <v/>
      </c>
      <c r="F267" s="182"/>
      <c r="G267" s="136" t="str">
        <f t="shared" si="21"/>
        <v/>
      </c>
      <c r="H267" s="136" t="str">
        <f t="shared" si="22"/>
        <v/>
      </c>
    </row>
    <row r="268" spans="1:8" ht="11.25" customHeight="1" x14ac:dyDescent="0.2">
      <c r="B268" s="177"/>
      <c r="C268" s="128"/>
      <c r="D268" s="136" t="str">
        <f t="shared" si="19"/>
        <v/>
      </c>
      <c r="E268" s="136" t="str">
        <f t="shared" si="20"/>
        <v/>
      </c>
      <c r="F268" s="182"/>
      <c r="G268" s="136" t="str">
        <f t="shared" si="21"/>
        <v/>
      </c>
      <c r="H268" s="136" t="str">
        <f t="shared" si="22"/>
        <v/>
      </c>
    </row>
    <row r="269" spans="1:8" ht="11.25" customHeight="1" x14ac:dyDescent="0.2">
      <c r="B269" s="177"/>
      <c r="C269" s="128"/>
      <c r="D269" s="136" t="str">
        <f t="shared" si="19"/>
        <v/>
      </c>
      <c r="E269" s="136" t="str">
        <f t="shared" si="20"/>
        <v/>
      </c>
      <c r="F269" s="182"/>
      <c r="G269" s="136" t="str">
        <f t="shared" si="21"/>
        <v/>
      </c>
      <c r="H269" s="136" t="str">
        <f t="shared" si="22"/>
        <v/>
      </c>
    </row>
    <row r="270" spans="1:8" ht="11.25" customHeight="1" x14ac:dyDescent="0.2">
      <c r="B270" s="177"/>
      <c r="C270" s="128"/>
      <c r="D270" s="136" t="str">
        <f t="shared" si="19"/>
        <v/>
      </c>
      <c r="E270" s="136" t="str">
        <f t="shared" si="20"/>
        <v/>
      </c>
      <c r="F270" s="182"/>
      <c r="G270" s="136" t="str">
        <f t="shared" si="21"/>
        <v/>
      </c>
      <c r="H270" s="136" t="str">
        <f t="shared" si="22"/>
        <v/>
      </c>
    </row>
    <row r="271" spans="1:8" ht="12" customHeight="1" thickBot="1" x14ac:dyDescent="0.25">
      <c r="B271" s="178"/>
      <c r="C271" s="129"/>
      <c r="D271" s="138" t="str">
        <f t="shared" si="19"/>
        <v/>
      </c>
      <c r="E271" s="138" t="str">
        <f t="shared" si="20"/>
        <v/>
      </c>
      <c r="F271" s="183"/>
      <c r="G271" s="138" t="str">
        <f t="shared" si="21"/>
        <v/>
      </c>
      <c r="H271" s="136" t="str">
        <f t="shared" si="22"/>
        <v/>
      </c>
    </row>
    <row r="272" spans="1:8" ht="12.75" customHeight="1" thickBot="1" x14ac:dyDescent="0.25">
      <c r="A272" s="159"/>
      <c r="B272" s="141" t="s">
        <v>831</v>
      </c>
      <c r="C272" s="127"/>
      <c r="D272" s="164"/>
      <c r="E272" s="137">
        <f>SUM(E233:E271)</f>
        <v>0</v>
      </c>
      <c r="F272" s="162" t="s">
        <v>831</v>
      </c>
      <c r="G272" s="127"/>
      <c r="H272" s="137">
        <f>SUM(H239:H271)</f>
        <v>1398.6050000000002</v>
      </c>
    </row>
    <row r="273" spans="1:8" ht="12.75" customHeight="1" thickBot="1" x14ac:dyDescent="0.25">
      <c r="A273" s="159"/>
      <c r="B273" s="141" t="s">
        <v>832</v>
      </c>
      <c r="C273" s="127"/>
      <c r="D273" s="127"/>
      <c r="E273" s="137">
        <f>E272*10/100</f>
        <v>0</v>
      </c>
      <c r="F273" s="165" t="s">
        <v>832</v>
      </c>
      <c r="G273" s="146"/>
      <c r="H273" s="137">
        <f>H272*10/100</f>
        <v>139.86050000000003</v>
      </c>
    </row>
    <row r="274" spans="1:8" ht="12.75" customHeight="1" thickBot="1" x14ac:dyDescent="0.25">
      <c r="A274" s="159"/>
      <c r="B274" s="141" t="s">
        <v>24</v>
      </c>
      <c r="C274" s="127"/>
      <c r="D274" s="127"/>
      <c r="E274" s="147">
        <f>E272+E273</f>
        <v>0</v>
      </c>
      <c r="F274" s="162" t="s">
        <v>24</v>
      </c>
      <c r="G274" s="146"/>
      <c r="H274" s="137">
        <f>H272+H273</f>
        <v>1538.4655000000002</v>
      </c>
    </row>
    <row r="275" spans="1:8" ht="12.75" customHeight="1" thickBot="1" x14ac:dyDescent="0.25">
      <c r="B275" s="149" t="s">
        <v>10</v>
      </c>
      <c r="C275" s="127"/>
      <c r="D275" s="127"/>
      <c r="E275" s="166">
        <v>105</v>
      </c>
      <c r="F275" s="162" t="s">
        <v>10</v>
      </c>
      <c r="G275" s="127"/>
      <c r="H275" s="187">
        <v>22</v>
      </c>
    </row>
    <row r="276" spans="1:8" ht="12.75" customHeight="1" thickBot="1" x14ac:dyDescent="0.25">
      <c r="B276" s="150" t="s">
        <v>1261</v>
      </c>
      <c r="C276" s="127"/>
      <c r="D276" s="127"/>
      <c r="E276" s="163">
        <f>E274/E275</f>
        <v>0</v>
      </c>
      <c r="F276" s="162" t="s">
        <v>1261</v>
      </c>
      <c r="G276" s="127"/>
      <c r="H276" s="137">
        <f>H274/H275</f>
        <v>69.930250000000015</v>
      </c>
    </row>
    <row r="277" spans="1:8" ht="12" customHeight="1" thickBot="1" x14ac:dyDescent="0.25">
      <c r="B277" s="130" t="s">
        <v>1264</v>
      </c>
      <c r="C277" s="221" t="s">
        <v>1754</v>
      </c>
      <c r="D277" s="222"/>
      <c r="E277" s="222"/>
      <c r="F277" s="222"/>
      <c r="G277" s="222"/>
      <c r="H277" s="223"/>
    </row>
    <row r="278" spans="1:8" ht="12" customHeight="1" thickBot="1" x14ac:dyDescent="0.25">
      <c r="B278" s="130" t="s">
        <v>1265</v>
      </c>
      <c r="C278" s="224" t="s">
        <v>1856</v>
      </c>
      <c r="D278" s="225"/>
      <c r="E278" s="225"/>
      <c r="F278" s="225"/>
      <c r="G278" s="225"/>
      <c r="H278" s="226"/>
    </row>
    <row r="279" spans="1:8" ht="12" customHeight="1" thickBot="1" x14ac:dyDescent="0.25">
      <c r="B279" s="130" t="s">
        <v>1266</v>
      </c>
      <c r="C279" s="224" t="s">
        <v>1755</v>
      </c>
      <c r="D279" s="225"/>
      <c r="E279" s="225"/>
      <c r="F279" s="225"/>
      <c r="G279" s="225"/>
      <c r="H279" s="226"/>
    </row>
    <row r="280" spans="1:8" ht="12" customHeight="1" thickBot="1" x14ac:dyDescent="0.25">
      <c r="B280" s="130" t="s">
        <v>1267</v>
      </c>
      <c r="C280" s="227" t="s">
        <v>1778</v>
      </c>
      <c r="D280" s="228"/>
      <c r="E280" s="228"/>
      <c r="F280" s="228"/>
      <c r="G280" s="228"/>
      <c r="H280" s="229"/>
    </row>
    <row r="281" spans="1:8" ht="12" customHeight="1" thickBot="1" x14ac:dyDescent="0.25">
      <c r="B281" s="130"/>
      <c r="C281" s="224" t="s">
        <v>1852</v>
      </c>
      <c r="D281" s="225"/>
      <c r="E281" s="225"/>
      <c r="F281" s="225"/>
      <c r="G281" s="225"/>
      <c r="H281" s="226"/>
    </row>
    <row r="282" spans="1:8" ht="12" customHeight="1" thickBot="1" x14ac:dyDescent="0.25">
      <c r="B282" s="130"/>
      <c r="C282" s="224" t="s">
        <v>1853</v>
      </c>
      <c r="D282" s="225"/>
      <c r="E282" s="225"/>
      <c r="F282" s="225"/>
      <c r="G282" s="225"/>
      <c r="H282" s="226"/>
    </row>
    <row r="283" spans="1:8" ht="12" customHeight="1" thickBot="1" x14ac:dyDescent="0.25">
      <c r="B283" s="130"/>
      <c r="C283" s="224"/>
      <c r="D283" s="225"/>
      <c r="E283" s="225"/>
      <c r="F283" s="225"/>
      <c r="G283" s="225"/>
      <c r="H283" s="226"/>
    </row>
    <row r="284" spans="1:8" ht="12" customHeight="1" thickBot="1" x14ac:dyDescent="0.25">
      <c r="B284" s="130"/>
      <c r="C284" s="224"/>
      <c r="D284" s="225"/>
      <c r="E284" s="225"/>
      <c r="F284" s="225"/>
      <c r="G284" s="225"/>
      <c r="H284" s="226"/>
    </row>
    <row r="285" spans="1:8" ht="12" customHeight="1" thickBot="1" x14ac:dyDescent="0.25">
      <c r="B285" s="130"/>
      <c r="C285" s="209"/>
      <c r="D285" s="210"/>
      <c r="E285" s="210"/>
      <c r="F285" s="210"/>
      <c r="G285" s="210"/>
      <c r="H285" s="211"/>
    </row>
    <row r="286" spans="1:8" ht="12" customHeight="1" thickBot="1" x14ac:dyDescent="0.25">
      <c r="C286" s="188"/>
      <c r="D286" s="188"/>
      <c r="E286" s="188"/>
      <c r="F286" s="188"/>
      <c r="G286" s="188"/>
      <c r="H286" s="188"/>
    </row>
    <row r="287" spans="1:8" ht="21.75" customHeight="1" thickBot="1" x14ac:dyDescent="0.4">
      <c r="B287" s="212" t="s">
        <v>1263</v>
      </c>
      <c r="C287" s="213"/>
      <c r="D287" s="213"/>
      <c r="E287" s="213"/>
      <c r="F287" s="213"/>
      <c r="G287" s="213"/>
      <c r="H287" s="214"/>
    </row>
    <row r="288" spans="1:8" ht="12" customHeight="1" thickBot="1" x14ac:dyDescent="0.25">
      <c r="B288" s="215" t="s">
        <v>12</v>
      </c>
      <c r="C288" s="216"/>
      <c r="D288" s="216"/>
      <c r="E288" s="217"/>
      <c r="F288" s="218" t="s">
        <v>13</v>
      </c>
      <c r="G288" s="219"/>
      <c r="H288" s="220"/>
    </row>
    <row r="289" spans="2:8" ht="12" customHeight="1" thickBot="1" x14ac:dyDescent="0.25">
      <c r="B289" s="131" t="s">
        <v>19</v>
      </c>
      <c r="C289" s="131" t="s">
        <v>20</v>
      </c>
      <c r="D289" s="131" t="s">
        <v>21</v>
      </c>
      <c r="E289" s="131" t="s">
        <v>22</v>
      </c>
      <c r="F289" s="134" t="s">
        <v>20</v>
      </c>
      <c r="G289" s="134" t="s">
        <v>21</v>
      </c>
      <c r="H289" s="134" t="s">
        <v>22</v>
      </c>
    </row>
    <row r="290" spans="2:8" s="152" customFormat="1" ht="11.25" customHeight="1" x14ac:dyDescent="0.2">
      <c r="B290" s="176" t="s">
        <v>1779</v>
      </c>
      <c r="C290" s="160">
        <v>1</v>
      </c>
      <c r="D290" s="154">
        <f t="shared" ref="D290:D328" si="23">IF(B290="","",VLOOKUP(B290,INVENTARIO,2))</f>
        <v>5.55</v>
      </c>
      <c r="E290" s="154">
        <f>IF(C290=0,"",C290*D290)</f>
        <v>5.55</v>
      </c>
      <c r="F290" s="179">
        <v>3</v>
      </c>
      <c r="G290" s="154">
        <f>D290</f>
        <v>5.55</v>
      </c>
      <c r="H290" s="155">
        <f>IF(F290=0,"",F290*G290)</f>
        <v>16.649999999999999</v>
      </c>
    </row>
    <row r="291" spans="2:8" s="152" customFormat="1" ht="11.25" customHeight="1" x14ac:dyDescent="0.2">
      <c r="B291" s="176" t="s">
        <v>1730</v>
      </c>
      <c r="C291" s="161">
        <v>3000</v>
      </c>
      <c r="D291" s="155">
        <f t="shared" si="23"/>
        <v>5.2699999999999995E-3</v>
      </c>
      <c r="E291" s="155">
        <f t="shared" ref="E291:E328" si="24">IF(C291=0,"",C291*D291)</f>
        <v>15.809999999999999</v>
      </c>
      <c r="F291" s="180">
        <v>3000</v>
      </c>
      <c r="G291" s="155">
        <f t="shared" ref="G291:G328" si="25">D291</f>
        <v>5.2699999999999995E-3</v>
      </c>
      <c r="H291" s="155">
        <f t="shared" ref="H291:H328" si="26">IF(F291=0,"",F291*G291)</f>
        <v>15.809999999999999</v>
      </c>
    </row>
    <row r="292" spans="2:8" s="152" customFormat="1" ht="11.25" customHeight="1" x14ac:dyDescent="0.2">
      <c r="B292" s="176" t="s">
        <v>1680</v>
      </c>
      <c r="C292" s="161">
        <v>2000</v>
      </c>
      <c r="D292" s="155">
        <f t="shared" si="23"/>
        <v>1.5</v>
      </c>
      <c r="E292" s="155">
        <f t="shared" si="24"/>
        <v>3000</v>
      </c>
      <c r="F292" s="180">
        <v>30</v>
      </c>
      <c r="G292" s="155">
        <f t="shared" si="25"/>
        <v>1.5</v>
      </c>
      <c r="H292" s="155">
        <f t="shared" si="26"/>
        <v>45</v>
      </c>
    </row>
    <row r="293" spans="2:8" s="152" customFormat="1" ht="11.25" customHeight="1" x14ac:dyDescent="0.2">
      <c r="B293" s="176" t="s">
        <v>1812</v>
      </c>
      <c r="C293" s="161">
        <v>500</v>
      </c>
      <c r="D293" s="155">
        <f t="shared" si="23"/>
        <v>1.5774193548387095E-2</v>
      </c>
      <c r="E293" s="155">
        <f t="shared" si="24"/>
        <v>7.8870967741935472</v>
      </c>
      <c r="F293" s="180">
        <v>3000</v>
      </c>
      <c r="G293" s="155">
        <f t="shared" si="25"/>
        <v>1.5774193548387095E-2</v>
      </c>
      <c r="H293" s="155">
        <f t="shared" si="26"/>
        <v>47.322580645161288</v>
      </c>
    </row>
    <row r="294" spans="2:8" s="152" customFormat="1" ht="11.25" customHeight="1" x14ac:dyDescent="0.2">
      <c r="B294" s="176" t="s">
        <v>1802</v>
      </c>
      <c r="C294" s="161">
        <v>2000</v>
      </c>
      <c r="D294" s="155">
        <f t="shared" si="23"/>
        <v>0.04</v>
      </c>
      <c r="E294" s="155">
        <f t="shared" si="24"/>
        <v>80</v>
      </c>
      <c r="F294" s="180">
        <v>500</v>
      </c>
      <c r="G294" s="155">
        <f t="shared" si="25"/>
        <v>0.04</v>
      </c>
      <c r="H294" s="155">
        <f t="shared" si="26"/>
        <v>20</v>
      </c>
    </row>
    <row r="295" spans="2:8" s="152" customFormat="1" ht="11.25" customHeight="1" x14ac:dyDescent="0.2">
      <c r="B295" s="176" t="s">
        <v>1801</v>
      </c>
      <c r="C295" s="161">
        <v>10</v>
      </c>
      <c r="D295" s="155">
        <f t="shared" si="23"/>
        <v>1.1339999999999999E-2</v>
      </c>
      <c r="E295" s="155">
        <f t="shared" si="24"/>
        <v>0.1134</v>
      </c>
      <c r="F295" s="180">
        <v>1500</v>
      </c>
      <c r="G295" s="155">
        <f t="shared" si="25"/>
        <v>1.1339999999999999E-2</v>
      </c>
      <c r="H295" s="155">
        <f t="shared" si="26"/>
        <v>17.009999999999998</v>
      </c>
    </row>
    <row r="296" spans="2:8" s="152" customFormat="1" ht="11.25" customHeight="1" x14ac:dyDescent="0.2">
      <c r="B296" s="176" t="s">
        <v>1780</v>
      </c>
      <c r="C296" s="156"/>
      <c r="D296" s="155">
        <f t="shared" si="23"/>
        <v>5.2999999999999999E-2</v>
      </c>
      <c r="E296" s="155" t="str">
        <f t="shared" si="24"/>
        <v/>
      </c>
      <c r="F296" s="180">
        <v>200</v>
      </c>
      <c r="G296" s="155">
        <f t="shared" si="25"/>
        <v>5.2999999999999999E-2</v>
      </c>
      <c r="H296" s="155">
        <f t="shared" si="26"/>
        <v>10.6</v>
      </c>
    </row>
    <row r="297" spans="2:8" ht="11.25" customHeight="1" x14ac:dyDescent="0.2">
      <c r="B297" s="176"/>
      <c r="C297" s="128"/>
      <c r="D297" s="155" t="str">
        <f t="shared" si="23"/>
        <v/>
      </c>
      <c r="E297" s="136" t="str">
        <f t="shared" si="24"/>
        <v/>
      </c>
      <c r="F297" s="190"/>
      <c r="G297" s="155" t="str">
        <f t="shared" si="25"/>
        <v/>
      </c>
      <c r="H297" s="155" t="str">
        <f t="shared" si="26"/>
        <v/>
      </c>
    </row>
    <row r="298" spans="2:8" ht="11.25" customHeight="1" x14ac:dyDescent="0.2">
      <c r="B298" s="176"/>
      <c r="C298" s="128"/>
      <c r="D298" s="155" t="str">
        <f t="shared" si="23"/>
        <v/>
      </c>
      <c r="E298" s="136"/>
      <c r="F298" s="190"/>
      <c r="G298" s="155" t="str">
        <f t="shared" si="25"/>
        <v/>
      </c>
      <c r="H298" s="155" t="str">
        <f t="shared" si="26"/>
        <v/>
      </c>
    </row>
    <row r="299" spans="2:8" ht="11.25" customHeight="1" x14ac:dyDescent="0.2">
      <c r="B299" s="177"/>
      <c r="C299" s="128"/>
      <c r="D299" s="155" t="str">
        <f t="shared" si="23"/>
        <v/>
      </c>
      <c r="E299" s="136" t="str">
        <f t="shared" si="24"/>
        <v/>
      </c>
      <c r="F299" s="190"/>
      <c r="G299" s="155" t="str">
        <f t="shared" si="25"/>
        <v/>
      </c>
      <c r="H299" s="155" t="str">
        <f t="shared" si="26"/>
        <v/>
      </c>
    </row>
    <row r="300" spans="2:8" ht="11.25" customHeight="1" x14ac:dyDescent="0.2">
      <c r="B300" s="177"/>
      <c r="C300" s="128"/>
      <c r="D300" s="155" t="str">
        <f t="shared" si="23"/>
        <v/>
      </c>
      <c r="E300" s="136" t="str">
        <f t="shared" si="24"/>
        <v/>
      </c>
      <c r="F300" s="190"/>
      <c r="G300" s="155" t="str">
        <f t="shared" si="25"/>
        <v/>
      </c>
      <c r="H300" s="155" t="str">
        <f t="shared" si="26"/>
        <v/>
      </c>
    </row>
    <row r="301" spans="2:8" ht="11.25" customHeight="1" x14ac:dyDescent="0.2">
      <c r="B301" s="177"/>
      <c r="C301" s="128"/>
      <c r="D301" s="155" t="str">
        <f t="shared" si="23"/>
        <v/>
      </c>
      <c r="E301" s="136" t="str">
        <f t="shared" si="24"/>
        <v/>
      </c>
      <c r="F301" s="190"/>
      <c r="G301" s="155" t="str">
        <f t="shared" si="25"/>
        <v/>
      </c>
      <c r="H301" s="155" t="str">
        <f t="shared" si="26"/>
        <v/>
      </c>
    </row>
    <row r="302" spans="2:8" ht="11.25" customHeight="1" x14ac:dyDescent="0.2">
      <c r="B302" s="177"/>
      <c r="C302" s="128"/>
      <c r="D302" s="155" t="str">
        <f t="shared" si="23"/>
        <v/>
      </c>
      <c r="E302" s="136" t="str">
        <f t="shared" si="24"/>
        <v/>
      </c>
      <c r="F302" s="190"/>
      <c r="G302" s="155" t="str">
        <f t="shared" si="25"/>
        <v/>
      </c>
      <c r="H302" s="155" t="str">
        <f t="shared" si="26"/>
        <v/>
      </c>
    </row>
    <row r="303" spans="2:8" ht="11.25" customHeight="1" x14ac:dyDescent="0.2">
      <c r="B303" s="177"/>
      <c r="C303" s="128"/>
      <c r="D303" s="155" t="str">
        <f t="shared" si="23"/>
        <v/>
      </c>
      <c r="E303" s="136" t="str">
        <f t="shared" si="24"/>
        <v/>
      </c>
      <c r="F303" s="190"/>
      <c r="G303" s="155" t="str">
        <f t="shared" si="25"/>
        <v/>
      </c>
      <c r="H303" s="155" t="str">
        <f t="shared" si="26"/>
        <v/>
      </c>
    </row>
    <row r="304" spans="2:8" ht="11.25" customHeight="1" x14ac:dyDescent="0.2">
      <c r="B304" s="177"/>
      <c r="C304" s="128"/>
      <c r="D304" s="155" t="str">
        <f t="shared" si="23"/>
        <v/>
      </c>
      <c r="E304" s="136" t="str">
        <f t="shared" si="24"/>
        <v/>
      </c>
      <c r="F304" s="190"/>
      <c r="G304" s="155" t="str">
        <f t="shared" si="25"/>
        <v/>
      </c>
      <c r="H304" s="155" t="str">
        <f t="shared" si="26"/>
        <v/>
      </c>
    </row>
    <row r="305" spans="2:8" ht="11.25" customHeight="1" x14ac:dyDescent="0.2">
      <c r="B305" s="177"/>
      <c r="C305" s="128"/>
      <c r="D305" s="155" t="str">
        <f t="shared" si="23"/>
        <v/>
      </c>
      <c r="E305" s="136" t="str">
        <f t="shared" si="24"/>
        <v/>
      </c>
      <c r="F305" s="190"/>
      <c r="G305" s="155" t="str">
        <f t="shared" si="25"/>
        <v/>
      </c>
      <c r="H305" s="155" t="str">
        <f t="shared" si="26"/>
        <v/>
      </c>
    </row>
    <row r="306" spans="2:8" ht="11.25" customHeight="1" x14ac:dyDescent="0.2">
      <c r="B306" s="177"/>
      <c r="C306" s="128"/>
      <c r="D306" s="155" t="str">
        <f t="shared" si="23"/>
        <v/>
      </c>
      <c r="E306" s="136" t="str">
        <f t="shared" si="24"/>
        <v/>
      </c>
      <c r="F306" s="190"/>
      <c r="G306" s="155" t="str">
        <f t="shared" si="25"/>
        <v/>
      </c>
      <c r="H306" s="155" t="str">
        <f t="shared" si="26"/>
        <v/>
      </c>
    </row>
    <row r="307" spans="2:8" ht="11.25" customHeight="1" x14ac:dyDescent="0.2">
      <c r="B307" s="177"/>
      <c r="C307" s="128"/>
      <c r="D307" s="155" t="str">
        <f t="shared" si="23"/>
        <v/>
      </c>
      <c r="E307" s="136" t="str">
        <f t="shared" si="24"/>
        <v/>
      </c>
      <c r="F307" s="190"/>
      <c r="G307" s="155" t="str">
        <f t="shared" si="25"/>
        <v/>
      </c>
      <c r="H307" s="155" t="str">
        <f t="shared" si="26"/>
        <v/>
      </c>
    </row>
    <row r="308" spans="2:8" ht="11.25" customHeight="1" x14ac:dyDescent="0.2">
      <c r="B308" s="177"/>
      <c r="C308" s="128"/>
      <c r="D308" s="155" t="str">
        <f t="shared" si="23"/>
        <v/>
      </c>
      <c r="E308" s="136" t="str">
        <f t="shared" si="24"/>
        <v/>
      </c>
      <c r="F308" s="190"/>
      <c r="G308" s="155" t="str">
        <f t="shared" si="25"/>
        <v/>
      </c>
      <c r="H308" s="155" t="str">
        <f t="shared" si="26"/>
        <v/>
      </c>
    </row>
    <row r="309" spans="2:8" ht="11.25" customHeight="1" x14ac:dyDescent="0.2">
      <c r="B309" s="177"/>
      <c r="C309" s="128"/>
      <c r="D309" s="155" t="str">
        <f t="shared" si="23"/>
        <v/>
      </c>
      <c r="E309" s="136" t="str">
        <f t="shared" si="24"/>
        <v/>
      </c>
      <c r="F309" s="190"/>
      <c r="G309" s="155" t="str">
        <f t="shared" si="25"/>
        <v/>
      </c>
      <c r="H309" s="155" t="str">
        <f t="shared" si="26"/>
        <v/>
      </c>
    </row>
    <row r="310" spans="2:8" ht="11.25" customHeight="1" x14ac:dyDescent="0.2">
      <c r="B310" s="177"/>
      <c r="C310" s="128"/>
      <c r="D310" s="155" t="str">
        <f t="shared" si="23"/>
        <v/>
      </c>
      <c r="E310" s="136" t="str">
        <f t="shared" si="24"/>
        <v/>
      </c>
      <c r="F310" s="190"/>
      <c r="G310" s="155" t="str">
        <f t="shared" si="25"/>
        <v/>
      </c>
      <c r="H310" s="155" t="str">
        <f t="shared" si="26"/>
        <v/>
      </c>
    </row>
    <row r="311" spans="2:8" ht="11.25" customHeight="1" x14ac:dyDescent="0.2">
      <c r="B311" s="177"/>
      <c r="C311" s="128"/>
      <c r="D311" s="155" t="str">
        <f t="shared" si="23"/>
        <v/>
      </c>
      <c r="E311" s="136" t="str">
        <f t="shared" si="24"/>
        <v/>
      </c>
      <c r="F311" s="190"/>
      <c r="G311" s="155" t="str">
        <f t="shared" si="25"/>
        <v/>
      </c>
      <c r="H311" s="155" t="str">
        <f t="shared" si="26"/>
        <v/>
      </c>
    </row>
    <row r="312" spans="2:8" ht="11.25" customHeight="1" x14ac:dyDescent="0.2">
      <c r="B312" s="177"/>
      <c r="C312" s="128"/>
      <c r="D312" s="155" t="str">
        <f t="shared" si="23"/>
        <v/>
      </c>
      <c r="E312" s="136" t="str">
        <f t="shared" si="24"/>
        <v/>
      </c>
      <c r="F312" s="190"/>
      <c r="G312" s="155" t="str">
        <f t="shared" si="25"/>
        <v/>
      </c>
      <c r="H312" s="155" t="str">
        <f t="shared" si="26"/>
        <v/>
      </c>
    </row>
    <row r="313" spans="2:8" ht="11.25" customHeight="1" x14ac:dyDescent="0.2">
      <c r="B313" s="177"/>
      <c r="C313" s="128"/>
      <c r="D313" s="155" t="str">
        <f t="shared" si="23"/>
        <v/>
      </c>
      <c r="E313" s="136" t="str">
        <f t="shared" si="24"/>
        <v/>
      </c>
      <c r="F313" s="190"/>
      <c r="G313" s="155" t="str">
        <f t="shared" si="25"/>
        <v/>
      </c>
      <c r="H313" s="155" t="str">
        <f t="shared" si="26"/>
        <v/>
      </c>
    </row>
    <row r="314" spans="2:8" ht="11.25" customHeight="1" x14ac:dyDescent="0.2">
      <c r="B314" s="177"/>
      <c r="C314" s="128"/>
      <c r="D314" s="155" t="str">
        <f t="shared" si="23"/>
        <v/>
      </c>
      <c r="E314" s="136" t="str">
        <f t="shared" si="24"/>
        <v/>
      </c>
      <c r="F314" s="190"/>
      <c r="G314" s="155" t="str">
        <f t="shared" si="25"/>
        <v/>
      </c>
      <c r="H314" s="155" t="str">
        <f t="shared" si="26"/>
        <v/>
      </c>
    </row>
    <row r="315" spans="2:8" ht="11.25" customHeight="1" x14ac:dyDescent="0.2">
      <c r="B315" s="177"/>
      <c r="C315" s="128"/>
      <c r="D315" s="155" t="str">
        <f t="shared" si="23"/>
        <v/>
      </c>
      <c r="E315" s="136" t="str">
        <f t="shared" si="24"/>
        <v/>
      </c>
      <c r="F315" s="190"/>
      <c r="G315" s="155" t="str">
        <f t="shared" si="25"/>
        <v/>
      </c>
      <c r="H315" s="155" t="str">
        <f t="shared" si="26"/>
        <v/>
      </c>
    </row>
    <row r="316" spans="2:8" ht="11.25" customHeight="1" x14ac:dyDescent="0.2">
      <c r="B316" s="177"/>
      <c r="C316" s="128"/>
      <c r="D316" s="155" t="str">
        <f t="shared" si="23"/>
        <v/>
      </c>
      <c r="E316" s="136" t="str">
        <f t="shared" si="24"/>
        <v/>
      </c>
      <c r="F316" s="190"/>
      <c r="G316" s="155" t="str">
        <f t="shared" si="25"/>
        <v/>
      </c>
      <c r="H316" s="155" t="str">
        <f t="shared" si="26"/>
        <v/>
      </c>
    </row>
    <row r="317" spans="2:8" ht="11.25" customHeight="1" x14ac:dyDescent="0.2">
      <c r="B317" s="177"/>
      <c r="C317" s="128"/>
      <c r="D317" s="155" t="str">
        <f t="shared" si="23"/>
        <v/>
      </c>
      <c r="E317" s="136" t="str">
        <f t="shared" si="24"/>
        <v/>
      </c>
      <c r="F317" s="190"/>
      <c r="G317" s="155" t="str">
        <f t="shared" si="25"/>
        <v/>
      </c>
      <c r="H317" s="155" t="str">
        <f t="shared" si="26"/>
        <v/>
      </c>
    </row>
    <row r="318" spans="2:8" ht="11.25" customHeight="1" x14ac:dyDescent="0.2">
      <c r="B318" s="177"/>
      <c r="C318" s="128"/>
      <c r="D318" s="155" t="str">
        <f t="shared" si="23"/>
        <v/>
      </c>
      <c r="E318" s="136" t="str">
        <f t="shared" si="24"/>
        <v/>
      </c>
      <c r="F318" s="190"/>
      <c r="G318" s="155" t="str">
        <f t="shared" si="25"/>
        <v/>
      </c>
      <c r="H318" s="155" t="str">
        <f t="shared" si="26"/>
        <v/>
      </c>
    </row>
    <row r="319" spans="2:8" ht="11.25" customHeight="1" x14ac:dyDescent="0.2">
      <c r="B319" s="177"/>
      <c r="C319" s="128"/>
      <c r="D319" s="155" t="str">
        <f t="shared" si="23"/>
        <v/>
      </c>
      <c r="E319" s="136" t="str">
        <f t="shared" si="24"/>
        <v/>
      </c>
      <c r="F319" s="190"/>
      <c r="G319" s="155" t="str">
        <f t="shared" si="25"/>
        <v/>
      </c>
      <c r="H319" s="155" t="str">
        <f t="shared" si="26"/>
        <v/>
      </c>
    </row>
    <row r="320" spans="2:8" ht="11.25" customHeight="1" x14ac:dyDescent="0.2">
      <c r="B320" s="177"/>
      <c r="C320" s="128"/>
      <c r="D320" s="155" t="str">
        <f t="shared" si="23"/>
        <v/>
      </c>
      <c r="E320" s="136" t="str">
        <f t="shared" si="24"/>
        <v/>
      </c>
      <c r="F320" s="190"/>
      <c r="G320" s="155" t="str">
        <f t="shared" si="25"/>
        <v/>
      </c>
      <c r="H320" s="155" t="str">
        <f t="shared" si="26"/>
        <v/>
      </c>
    </row>
    <row r="321" spans="1:8" ht="11.25" customHeight="1" x14ac:dyDescent="0.2">
      <c r="B321" s="177"/>
      <c r="C321" s="128"/>
      <c r="D321" s="155" t="str">
        <f t="shared" si="23"/>
        <v/>
      </c>
      <c r="E321" s="136" t="str">
        <f t="shared" si="24"/>
        <v/>
      </c>
      <c r="F321" s="190"/>
      <c r="G321" s="155" t="str">
        <f t="shared" si="25"/>
        <v/>
      </c>
      <c r="H321" s="155" t="str">
        <f t="shared" si="26"/>
        <v/>
      </c>
    </row>
    <row r="322" spans="1:8" ht="11.25" customHeight="1" x14ac:dyDescent="0.2">
      <c r="B322" s="177"/>
      <c r="C322" s="128"/>
      <c r="D322" s="155" t="str">
        <f t="shared" si="23"/>
        <v/>
      </c>
      <c r="E322" s="136" t="str">
        <f t="shared" si="24"/>
        <v/>
      </c>
      <c r="F322" s="190"/>
      <c r="G322" s="155" t="str">
        <f t="shared" si="25"/>
        <v/>
      </c>
      <c r="H322" s="155" t="str">
        <f t="shared" si="26"/>
        <v/>
      </c>
    </row>
    <row r="323" spans="1:8" ht="11.25" customHeight="1" x14ac:dyDescent="0.2">
      <c r="B323" s="177"/>
      <c r="C323" s="128"/>
      <c r="D323" s="155" t="str">
        <f t="shared" si="23"/>
        <v/>
      </c>
      <c r="E323" s="136" t="str">
        <f t="shared" si="24"/>
        <v/>
      </c>
      <c r="F323" s="190"/>
      <c r="G323" s="155" t="str">
        <f t="shared" si="25"/>
        <v/>
      </c>
      <c r="H323" s="155" t="str">
        <f t="shared" si="26"/>
        <v/>
      </c>
    </row>
    <row r="324" spans="1:8" ht="11.25" customHeight="1" x14ac:dyDescent="0.2">
      <c r="B324" s="177"/>
      <c r="C324" s="128"/>
      <c r="D324" s="155" t="str">
        <f t="shared" si="23"/>
        <v/>
      </c>
      <c r="E324" s="136" t="str">
        <f t="shared" si="24"/>
        <v/>
      </c>
      <c r="F324" s="190"/>
      <c r="G324" s="155" t="str">
        <f t="shared" si="25"/>
        <v/>
      </c>
      <c r="H324" s="155" t="str">
        <f t="shared" si="26"/>
        <v/>
      </c>
    </row>
    <row r="325" spans="1:8" ht="11.25" customHeight="1" x14ac:dyDescent="0.2">
      <c r="B325" s="177"/>
      <c r="C325" s="128"/>
      <c r="D325" s="155" t="str">
        <f t="shared" si="23"/>
        <v/>
      </c>
      <c r="E325" s="136" t="str">
        <f t="shared" si="24"/>
        <v/>
      </c>
      <c r="F325" s="190"/>
      <c r="G325" s="155" t="str">
        <f t="shared" si="25"/>
        <v/>
      </c>
      <c r="H325" s="155" t="str">
        <f t="shared" si="26"/>
        <v/>
      </c>
    </row>
    <row r="326" spans="1:8" ht="11.25" customHeight="1" x14ac:dyDescent="0.2">
      <c r="B326" s="177"/>
      <c r="C326" s="128"/>
      <c r="D326" s="155" t="str">
        <f t="shared" si="23"/>
        <v/>
      </c>
      <c r="E326" s="136" t="str">
        <f t="shared" si="24"/>
        <v/>
      </c>
      <c r="F326" s="190"/>
      <c r="G326" s="155" t="str">
        <f t="shared" si="25"/>
        <v/>
      </c>
      <c r="H326" s="155" t="str">
        <f t="shared" si="26"/>
        <v/>
      </c>
    </row>
    <row r="327" spans="1:8" ht="11.25" customHeight="1" x14ac:dyDescent="0.2">
      <c r="B327" s="177"/>
      <c r="C327" s="128"/>
      <c r="D327" s="155" t="str">
        <f t="shared" si="23"/>
        <v/>
      </c>
      <c r="E327" s="136" t="str">
        <f t="shared" si="24"/>
        <v/>
      </c>
      <c r="F327" s="190"/>
      <c r="G327" s="155" t="str">
        <f t="shared" si="25"/>
        <v/>
      </c>
      <c r="H327" s="155" t="str">
        <f t="shared" si="26"/>
        <v/>
      </c>
    </row>
    <row r="328" spans="1:8" ht="12" customHeight="1" thickBot="1" x14ac:dyDescent="0.25">
      <c r="B328" s="178"/>
      <c r="C328" s="129"/>
      <c r="D328" s="155" t="str">
        <f t="shared" si="23"/>
        <v/>
      </c>
      <c r="E328" s="138" t="str">
        <f t="shared" si="24"/>
        <v/>
      </c>
      <c r="F328" s="191"/>
      <c r="G328" s="155" t="str">
        <f t="shared" si="25"/>
        <v/>
      </c>
      <c r="H328" s="155" t="str">
        <f t="shared" si="26"/>
        <v/>
      </c>
    </row>
    <row r="329" spans="1:8" ht="12.75" customHeight="1" thickBot="1" x14ac:dyDescent="0.25">
      <c r="A329" s="159"/>
      <c r="B329" s="141" t="s">
        <v>831</v>
      </c>
      <c r="C329" s="127"/>
      <c r="D329" s="142"/>
      <c r="E329" s="143">
        <f>SUM(E290:E328)</f>
        <v>3109.360496774194</v>
      </c>
      <c r="F329" s="133" t="s">
        <v>831</v>
      </c>
      <c r="G329" s="127"/>
      <c r="H329" s="137">
        <f>SUM(H290:H328)</f>
        <v>172.39258064516127</v>
      </c>
    </row>
    <row r="330" spans="1:8" ht="12.75" customHeight="1" thickBot="1" x14ac:dyDescent="0.25">
      <c r="A330" s="159"/>
      <c r="B330" s="141" t="s">
        <v>832</v>
      </c>
      <c r="C330" s="127"/>
      <c r="D330" s="144"/>
      <c r="E330" s="137">
        <f>E329*10/100</f>
        <v>310.93604967741942</v>
      </c>
      <c r="F330" s="145" t="s">
        <v>832</v>
      </c>
      <c r="G330" s="146"/>
      <c r="H330" s="137">
        <f>H329*10/100</f>
        <v>17.239258064516129</v>
      </c>
    </row>
    <row r="331" spans="1:8" ht="12.75" customHeight="1" thickBot="1" x14ac:dyDescent="0.25">
      <c r="A331" s="159"/>
      <c r="B331" s="141" t="s">
        <v>24</v>
      </c>
      <c r="C331" s="127"/>
      <c r="D331" s="127"/>
      <c r="E331" s="135">
        <f>E329+E330</f>
        <v>3420.2965464516133</v>
      </c>
      <c r="F331" s="133" t="s">
        <v>24</v>
      </c>
      <c r="G331" s="146"/>
      <c r="H331" s="137">
        <f>H329+H330</f>
        <v>189.6318387096774</v>
      </c>
    </row>
    <row r="332" spans="1:8" ht="12.75" customHeight="1" thickBot="1" x14ac:dyDescent="0.25">
      <c r="B332" s="149" t="s">
        <v>10</v>
      </c>
      <c r="C332" s="127"/>
      <c r="D332" s="127"/>
      <c r="E332" s="151">
        <v>105</v>
      </c>
      <c r="F332" s="133" t="s">
        <v>10</v>
      </c>
      <c r="G332" s="127"/>
      <c r="H332" s="184">
        <v>104</v>
      </c>
    </row>
    <row r="333" spans="1:8" ht="12.75" customHeight="1" thickBot="1" x14ac:dyDescent="0.25">
      <c r="B333" s="150" t="s">
        <v>1261</v>
      </c>
      <c r="C333" s="127"/>
      <c r="D333" s="127"/>
      <c r="E333" s="137">
        <f>E331/E332</f>
        <v>32.574252823348701</v>
      </c>
      <c r="F333" s="133" t="s">
        <v>1261</v>
      </c>
      <c r="G333" s="127"/>
      <c r="H333" s="137">
        <f>H331/H332</f>
        <v>1.8233830645161289</v>
      </c>
    </row>
    <row r="334" spans="1:8" ht="12" customHeight="1" thickBot="1" x14ac:dyDescent="0.25">
      <c r="B334" s="130"/>
      <c r="C334" s="221" t="s">
        <v>1854</v>
      </c>
      <c r="D334" s="222"/>
      <c r="E334" s="222"/>
      <c r="F334" s="222"/>
      <c r="G334" s="222"/>
      <c r="H334" s="223"/>
    </row>
    <row r="335" spans="1:8" ht="12" customHeight="1" thickBot="1" x14ac:dyDescent="0.25">
      <c r="B335" s="130" t="s">
        <v>1268</v>
      </c>
      <c r="C335" s="224" t="s">
        <v>1824</v>
      </c>
      <c r="D335" s="225"/>
      <c r="E335" s="225"/>
      <c r="F335" s="225"/>
      <c r="G335" s="225"/>
      <c r="H335" s="226"/>
    </row>
    <row r="336" spans="1:8" ht="12" customHeight="1" thickBot="1" x14ac:dyDescent="0.25">
      <c r="B336" s="130" t="s">
        <v>1269</v>
      </c>
      <c r="C336" s="224"/>
      <c r="D336" s="225"/>
      <c r="E336" s="225"/>
      <c r="F336" s="225"/>
      <c r="G336" s="225"/>
      <c r="H336" s="226"/>
    </row>
    <row r="337" spans="2:8" ht="12" customHeight="1" thickBot="1" x14ac:dyDescent="0.25">
      <c r="B337" s="130" t="s">
        <v>1270</v>
      </c>
      <c r="C337" s="224"/>
      <c r="D337" s="225"/>
      <c r="E337" s="225"/>
      <c r="F337" s="225"/>
      <c r="G337" s="225"/>
      <c r="H337" s="226"/>
    </row>
    <row r="338" spans="2:8" ht="12" customHeight="1" thickBot="1" x14ac:dyDescent="0.25">
      <c r="B338" s="130" t="s">
        <v>1271</v>
      </c>
      <c r="C338" s="224"/>
      <c r="D338" s="225"/>
      <c r="E338" s="225"/>
      <c r="F338" s="225"/>
      <c r="G338" s="225"/>
      <c r="H338" s="226"/>
    </row>
    <row r="339" spans="2:8" ht="12" customHeight="1" thickBot="1" x14ac:dyDescent="0.25">
      <c r="B339" s="130"/>
      <c r="C339" s="224"/>
      <c r="D339" s="225"/>
      <c r="E339" s="225"/>
      <c r="F339" s="225"/>
      <c r="G339" s="225"/>
      <c r="H339" s="226"/>
    </row>
    <row r="340" spans="2:8" ht="12" customHeight="1" thickBot="1" x14ac:dyDescent="0.25">
      <c r="B340" s="130"/>
      <c r="C340" s="224"/>
      <c r="D340" s="225"/>
      <c r="E340" s="225"/>
      <c r="F340" s="225"/>
      <c r="G340" s="225"/>
      <c r="H340" s="226"/>
    </row>
    <row r="341" spans="2:8" ht="12" customHeight="1" thickBot="1" x14ac:dyDescent="0.25">
      <c r="B341" s="130"/>
      <c r="C341" s="224"/>
      <c r="D341" s="225"/>
      <c r="E341" s="225"/>
      <c r="F341" s="225"/>
      <c r="G341" s="225"/>
      <c r="H341" s="226"/>
    </row>
    <row r="342" spans="2:8" ht="12" customHeight="1" thickBot="1" x14ac:dyDescent="0.25">
      <c r="B342" s="130"/>
      <c r="C342" s="209"/>
      <c r="D342" s="210"/>
      <c r="E342" s="210"/>
      <c r="F342" s="210"/>
      <c r="G342" s="210"/>
      <c r="H342" s="211"/>
    </row>
  </sheetData>
  <sheetProtection password="D1DF" sheet="1" objects="1" scenarios="1"/>
  <autoFilter ref="B1:B342"/>
  <mergeCells count="73">
    <mergeCell ref="C54:H54"/>
    <mergeCell ref="B5:H5"/>
    <mergeCell ref="B6:H6"/>
    <mergeCell ref="B7:E7"/>
    <mergeCell ref="F7:H7"/>
    <mergeCell ref="C53:H53"/>
    <mergeCell ref="C112:H112"/>
    <mergeCell ref="C55:H55"/>
    <mergeCell ref="C56:H56"/>
    <mergeCell ref="C57:H57"/>
    <mergeCell ref="C58:H58"/>
    <mergeCell ref="C59:H59"/>
    <mergeCell ref="C60:H60"/>
    <mergeCell ref="C61:H61"/>
    <mergeCell ref="B62:H62"/>
    <mergeCell ref="B63:E63"/>
    <mergeCell ref="F63:H63"/>
    <mergeCell ref="C111:H111"/>
    <mergeCell ref="C170:H170"/>
    <mergeCell ref="C113:H113"/>
    <mergeCell ref="C114:H114"/>
    <mergeCell ref="C115:H115"/>
    <mergeCell ref="C116:H116"/>
    <mergeCell ref="C117:H117"/>
    <mergeCell ref="C118:H118"/>
    <mergeCell ref="C119:H119"/>
    <mergeCell ref="B121:H121"/>
    <mergeCell ref="B122:E122"/>
    <mergeCell ref="F122:H122"/>
    <mergeCell ref="C169:H169"/>
    <mergeCell ref="C227:H227"/>
    <mergeCell ref="C171:H171"/>
    <mergeCell ref="C172:H172"/>
    <mergeCell ref="C173:H173"/>
    <mergeCell ref="C174:H174"/>
    <mergeCell ref="C175:H175"/>
    <mergeCell ref="C176:H176"/>
    <mergeCell ref="C177:H177"/>
    <mergeCell ref="B179:H179"/>
    <mergeCell ref="B180:E180"/>
    <mergeCell ref="F180:H180"/>
    <mergeCell ref="C226:H226"/>
    <mergeCell ref="C278:H278"/>
    <mergeCell ref="C228:H228"/>
    <mergeCell ref="C229:H229"/>
    <mergeCell ref="C230:H230"/>
    <mergeCell ref="C231:H231"/>
    <mergeCell ref="C232:H232"/>
    <mergeCell ref="C233:H233"/>
    <mergeCell ref="C234:H234"/>
    <mergeCell ref="B236:H236"/>
    <mergeCell ref="B237:E237"/>
    <mergeCell ref="F237:H237"/>
    <mergeCell ref="C277:H277"/>
    <mergeCell ref="C335:H335"/>
    <mergeCell ref="C279:H279"/>
    <mergeCell ref="C280:H280"/>
    <mergeCell ref="C281:H281"/>
    <mergeCell ref="C282:H282"/>
    <mergeCell ref="C283:H283"/>
    <mergeCell ref="C284:H284"/>
    <mergeCell ref="C285:H285"/>
    <mergeCell ref="B287:H287"/>
    <mergeCell ref="B288:E288"/>
    <mergeCell ref="F288:H288"/>
    <mergeCell ref="C334:H334"/>
    <mergeCell ref="C342:H342"/>
    <mergeCell ref="C336:H336"/>
    <mergeCell ref="C337:H337"/>
    <mergeCell ref="C338:H338"/>
    <mergeCell ref="C339:H339"/>
    <mergeCell ref="C340:H340"/>
    <mergeCell ref="C341:H341"/>
  </mergeCells>
  <dataValidations count="1">
    <dataValidation type="list" allowBlank="1" showInputMessage="1" showErrorMessage="1" sqref="B290:B328 B239:B271 B65:B105 B9:B47 B182:B220 B124:B163">
      <formula1>ARTICULO</formula1>
    </dataValidation>
  </dataValidations>
  <pageMargins left="0.59055118110236227" right="0.74803149606299213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PRE</vt:lpstr>
      <vt:lpstr>format</vt:lpstr>
      <vt:lpstr>Centro de datos</vt:lpstr>
      <vt:lpstr>Día 1</vt:lpstr>
      <vt:lpstr>Día-02</vt:lpstr>
      <vt:lpstr>Día-03</vt:lpstr>
      <vt:lpstr>Dom-17</vt:lpstr>
      <vt:lpstr>'Día 1'!Área_de_impresión</vt:lpstr>
      <vt:lpstr>'Día-02'!Área_de_impresión</vt:lpstr>
      <vt:lpstr>'Día-03'!Área_de_impresión</vt:lpstr>
      <vt:lpstr>'Dom-17'!Área_de_impresión</vt:lpstr>
      <vt:lpstr>format!Área_de_impresión</vt:lpstr>
      <vt:lpstr>ARTICULO</vt:lpstr>
      <vt:lpstr>INVENTARIO</vt:lpstr>
    </vt:vector>
  </TitlesOfParts>
  <Company>C.A. CERVECERIA REGIONAL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Gcia. Nacional de Informatica</dc:creator>
  <cp:lastModifiedBy>Amalia</cp:lastModifiedBy>
  <cp:lastPrinted>2010-11-10T00:23:00Z</cp:lastPrinted>
  <dcterms:created xsi:type="dcterms:W3CDTF">2007-09-25T14:38:49Z</dcterms:created>
  <dcterms:modified xsi:type="dcterms:W3CDTF">2011-07-12T09:15:58Z</dcterms:modified>
</cp:coreProperties>
</file>