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osultores\Desktop\ISMAEL\"/>
    </mc:Choice>
  </mc:AlternateContent>
  <bookViews>
    <workbookView xWindow="17070" yWindow="150" windowWidth="10305" windowHeight="7875" tabRatio="928"/>
  </bookViews>
  <sheets>
    <sheet name="ENERO" sheetId="1" r:id="rId1"/>
    <sheet name="FEBRERO" sheetId="2" r:id="rId2"/>
    <sheet name="MARZO" sheetId="18" r:id="rId3"/>
    <sheet name="ABRIL" sheetId="19" r:id="rId4"/>
    <sheet name="MAYO" sheetId="20" r:id="rId5"/>
    <sheet name="JUNIO" sheetId="21" r:id="rId6"/>
    <sheet name="JULIO" sheetId="22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  <sheet name="ANEXO GASOTS" sheetId="14" state="hidden" r:id="rId13"/>
    <sheet name="SRI GASTOS" sheetId="17" state="hidden" r:id="rId14"/>
    <sheet name="GASTOS PERSONALES" sheetId="23" r:id="rId15"/>
    <sheet name="RESUMEN" sheetId="13" r:id="rId16"/>
  </sheets>
  <externalReferences>
    <externalReference r:id="rId17"/>
    <externalReference r:id="rId18"/>
  </externalReferences>
  <definedNames>
    <definedName name="_xlnm._FilterDatabase" localSheetId="12" hidden="1">'ANEXO GASOTS'!$A$4:$AX$62</definedName>
    <definedName name="_xlnm.Print_Area" localSheetId="3">ABRIL!$A$1:$I$44</definedName>
    <definedName name="_xlnm.Print_Area" localSheetId="0">ENERO!$A$1:$J$68</definedName>
    <definedName name="_xlnm.Print_Area" localSheetId="1">FEBRERO!$A$1:$I$47</definedName>
    <definedName name="_xlnm.Print_Area" localSheetId="5">JUNIO!$A$1:$I$44</definedName>
    <definedName name="_xlnm.Print_Area" localSheetId="2">MARZO!$A$1:$I$50</definedName>
    <definedName name="_xlnm.Print_Area" localSheetId="4">MAYO!$A$1:$I$42</definedName>
    <definedName name="_xlnm.Print_Area" localSheetId="15">RESUMEN!$A$1:$I$45</definedName>
    <definedName name="IVA">0.12</definedName>
  </definedNames>
  <calcPr calcId="152511"/>
</workbook>
</file>

<file path=xl/calcChain.xml><?xml version="1.0" encoding="utf-8"?>
<calcChain xmlns="http://schemas.openxmlformats.org/spreadsheetml/2006/main">
  <c r="I29" i="1" l="1"/>
  <c r="F29" i="1"/>
  <c r="I30" i="1"/>
  <c r="F30" i="1"/>
  <c r="I28" i="1"/>
  <c r="F28" i="1"/>
  <c r="J28" i="1" s="1"/>
  <c r="K28" i="1" s="1"/>
  <c r="I9" i="1"/>
  <c r="L9" i="1" s="1"/>
  <c r="I10" i="1"/>
  <c r="I11" i="1"/>
  <c r="L11" i="1" s="1"/>
  <c r="I12" i="1"/>
  <c r="L12" i="1" s="1"/>
  <c r="I13" i="1"/>
  <c r="I14" i="1"/>
  <c r="I15" i="1"/>
  <c r="L15" i="1" s="1"/>
  <c r="I16" i="1"/>
  <c r="L16" i="1" s="1"/>
  <c r="I17" i="1"/>
  <c r="L17" i="1" s="1"/>
  <c r="I18" i="1"/>
  <c r="I19" i="1"/>
  <c r="L19" i="1" s="1"/>
  <c r="I20" i="1"/>
  <c r="L20" i="1" s="1"/>
  <c r="I21" i="1"/>
  <c r="I22" i="1"/>
  <c r="I23" i="1"/>
  <c r="I24" i="1"/>
  <c r="I25" i="1"/>
  <c r="I26" i="1"/>
  <c r="I27" i="1"/>
  <c r="I31" i="1"/>
  <c r="L31" i="1" s="1"/>
  <c r="I32" i="1"/>
  <c r="L32" i="1" s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J25" i="1" s="1"/>
  <c r="F26" i="1"/>
  <c r="J26" i="1" s="1"/>
  <c r="F27" i="1"/>
  <c r="F31" i="1"/>
  <c r="F32" i="1"/>
  <c r="J32" i="1" s="1"/>
  <c r="F8" i="1"/>
  <c r="L10" i="1"/>
  <c r="L13" i="1"/>
  <c r="L14" i="1"/>
  <c r="L18" i="1"/>
  <c r="L21" i="1"/>
  <c r="L22" i="1"/>
  <c r="L26" i="1"/>
  <c r="I8" i="1"/>
  <c r="L8" i="1" s="1"/>
  <c r="G33" i="1"/>
  <c r="G53" i="1" s="1"/>
  <c r="E33" i="1"/>
  <c r="G52" i="1" s="1"/>
  <c r="H45" i="1"/>
  <c r="G45" i="1"/>
  <c r="G59" i="1" s="1"/>
  <c r="F45" i="1"/>
  <c r="G27" i="2"/>
  <c r="J27" i="2" s="1"/>
  <c r="H27" i="2"/>
  <c r="I27" i="2"/>
  <c r="I49" i="1"/>
  <c r="G1" i="13"/>
  <c r="C1" i="23"/>
  <c r="K29" i="1" l="1"/>
  <c r="J29" i="1"/>
  <c r="J20" i="1"/>
  <c r="K20" i="1" s="1"/>
  <c r="J16" i="1"/>
  <c r="K16" i="1" s="1"/>
  <c r="J12" i="1"/>
  <c r="K12" i="1" s="1"/>
  <c r="J27" i="1"/>
  <c r="K27" i="1" s="1"/>
  <c r="J19" i="1"/>
  <c r="J15" i="1"/>
  <c r="J11" i="1"/>
  <c r="J31" i="1"/>
  <c r="K31" i="1" s="1"/>
  <c r="J30" i="1"/>
  <c r="K30" i="1" s="1"/>
  <c r="J22" i="1"/>
  <c r="K22" i="1" s="1"/>
  <c r="J18" i="1"/>
  <c r="K18" i="1" s="1"/>
  <c r="J14" i="1"/>
  <c r="K14" i="1" s="1"/>
  <c r="J10" i="1"/>
  <c r="K10" i="1" s="1"/>
  <c r="K26" i="1"/>
  <c r="J21" i="1"/>
  <c r="K21" i="1" s="1"/>
  <c r="J17" i="1"/>
  <c r="K17" i="1" s="1"/>
  <c r="J13" i="1"/>
  <c r="K13" i="1" s="1"/>
  <c r="J9" i="1"/>
  <c r="K9" i="1" s="1"/>
  <c r="K25" i="1"/>
  <c r="K19" i="1"/>
  <c r="K15" i="1"/>
  <c r="K11" i="1"/>
  <c r="K32" i="1"/>
  <c r="J24" i="1"/>
  <c r="K24" i="1" s="1"/>
  <c r="J23" i="1"/>
  <c r="K23" i="1" s="1"/>
  <c r="J8" i="1"/>
  <c r="M8" i="1" s="1"/>
  <c r="L25" i="1"/>
  <c r="M19" i="1"/>
  <c r="M20" i="1"/>
  <c r="F33" i="1"/>
  <c r="G51" i="1" s="1"/>
  <c r="I51" i="1" s="1"/>
  <c r="I33" i="1"/>
  <c r="R17" i="13"/>
  <c r="R16" i="13"/>
  <c r="AC25" i="13"/>
  <c r="AC24" i="13"/>
  <c r="D55" i="23"/>
  <c r="R21" i="13" s="1"/>
  <c r="AE31" i="23"/>
  <c r="Y28" i="23"/>
  <c r="R25" i="13" s="1"/>
  <c r="T28" i="23"/>
  <c r="N24" i="23"/>
  <c r="R23" i="13" s="1"/>
  <c r="I30" i="23"/>
  <c r="R22" i="13" s="1"/>
  <c r="R24" i="13"/>
  <c r="M18" i="1" l="1"/>
  <c r="M10" i="1"/>
  <c r="M14" i="1"/>
  <c r="M15" i="1"/>
  <c r="M11" i="1"/>
  <c r="K8" i="1"/>
  <c r="M21" i="1"/>
  <c r="M12" i="1"/>
  <c r="M9" i="1"/>
  <c r="M13" i="1"/>
  <c r="M16" i="1"/>
  <c r="M17" i="1"/>
  <c r="G29" i="8"/>
  <c r="G30" i="8"/>
  <c r="G31" i="8"/>
  <c r="G32" i="8"/>
  <c r="G33" i="8"/>
  <c r="G34" i="8"/>
  <c r="F29" i="8"/>
  <c r="F30" i="8"/>
  <c r="F31" i="8"/>
  <c r="F32" i="8"/>
  <c r="F33" i="8"/>
  <c r="F34" i="8"/>
  <c r="F28" i="8"/>
  <c r="I70" i="1"/>
  <c r="G19" i="8"/>
  <c r="J19" i="8" s="1"/>
  <c r="H19" i="8"/>
  <c r="I19" i="8"/>
  <c r="G18" i="8"/>
  <c r="J18" i="8" s="1"/>
  <c r="I18" i="8"/>
  <c r="J9" i="8"/>
  <c r="J10" i="8"/>
  <c r="J11" i="8"/>
  <c r="J12" i="8"/>
  <c r="J13" i="8"/>
  <c r="J14" i="8"/>
  <c r="J15" i="8"/>
  <c r="J16" i="8"/>
  <c r="J17" i="8"/>
  <c r="I9" i="8"/>
  <c r="I10" i="8"/>
  <c r="I11" i="8"/>
  <c r="I12" i="8"/>
  <c r="I13" i="8"/>
  <c r="I14" i="8"/>
  <c r="I15" i="8"/>
  <c r="I16" i="8"/>
  <c r="I17" i="8"/>
  <c r="I20" i="8"/>
  <c r="I21" i="8"/>
  <c r="H9" i="8"/>
  <c r="H10" i="8"/>
  <c r="H11" i="8"/>
  <c r="H12" i="8"/>
  <c r="H13" i="8"/>
  <c r="H14" i="8"/>
  <c r="H15" i="8"/>
  <c r="H16" i="8"/>
  <c r="H17" i="8"/>
  <c r="G9" i="8"/>
  <c r="G10" i="8"/>
  <c r="G11" i="8"/>
  <c r="G12" i="8"/>
  <c r="G13" i="8"/>
  <c r="G14" i="8"/>
  <c r="G15" i="8"/>
  <c r="G16" i="8"/>
  <c r="G17" i="8"/>
  <c r="G20" i="8"/>
  <c r="J20" i="8" s="1"/>
  <c r="G21" i="8"/>
  <c r="J21" i="8" s="1"/>
  <c r="F35" i="22"/>
  <c r="G35" i="22"/>
  <c r="G33" i="22"/>
  <c r="F32" i="22"/>
  <c r="G32" i="22" s="1"/>
  <c r="F33" i="22"/>
  <c r="F34" i="22"/>
  <c r="G34" i="22" s="1"/>
  <c r="F36" i="22"/>
  <c r="G36" i="22" s="1"/>
  <c r="G23" i="22"/>
  <c r="J23" i="22" s="1"/>
  <c r="I23" i="22"/>
  <c r="G24" i="22"/>
  <c r="J24" i="22" s="1"/>
  <c r="I24" i="22"/>
  <c r="J16" i="22"/>
  <c r="I9" i="22"/>
  <c r="I10" i="22"/>
  <c r="I11" i="22"/>
  <c r="I12" i="22"/>
  <c r="I13" i="22"/>
  <c r="I14" i="22"/>
  <c r="I15" i="22"/>
  <c r="I16" i="22"/>
  <c r="I17" i="22"/>
  <c r="I18" i="22"/>
  <c r="I19" i="22"/>
  <c r="I20" i="22"/>
  <c r="I21" i="22"/>
  <c r="I22" i="22"/>
  <c r="I25" i="22"/>
  <c r="H13" i="22"/>
  <c r="H17" i="22"/>
  <c r="H21" i="22"/>
  <c r="G9" i="22"/>
  <c r="J9" i="22" s="1"/>
  <c r="G10" i="22"/>
  <c r="H10" i="22" s="1"/>
  <c r="G11" i="22"/>
  <c r="J11" i="22" s="1"/>
  <c r="G12" i="22"/>
  <c r="H12" i="22" s="1"/>
  <c r="G13" i="22"/>
  <c r="J13" i="22" s="1"/>
  <c r="G14" i="22"/>
  <c r="H14" i="22" s="1"/>
  <c r="G15" i="22"/>
  <c r="J15" i="22" s="1"/>
  <c r="G16" i="22"/>
  <c r="H16" i="22" s="1"/>
  <c r="G17" i="22"/>
  <c r="J17" i="22" s="1"/>
  <c r="G18" i="22"/>
  <c r="H18" i="22" s="1"/>
  <c r="G19" i="22"/>
  <c r="J19" i="22" s="1"/>
  <c r="G20" i="22"/>
  <c r="H20" i="22" s="1"/>
  <c r="G21" i="22"/>
  <c r="J21" i="22" s="1"/>
  <c r="G22" i="22"/>
  <c r="H22" i="22" s="1"/>
  <c r="G25" i="22"/>
  <c r="J25" i="22" s="1"/>
  <c r="G20" i="21"/>
  <c r="J20" i="21" s="1"/>
  <c r="H20" i="21"/>
  <c r="I20" i="21"/>
  <c r="G21" i="21"/>
  <c r="H21" i="21" s="1"/>
  <c r="I21" i="21"/>
  <c r="J9" i="21"/>
  <c r="J11" i="21"/>
  <c r="J13" i="21"/>
  <c r="J15" i="21"/>
  <c r="J17" i="21"/>
  <c r="J19" i="21"/>
  <c r="I9" i="21"/>
  <c r="I10" i="21"/>
  <c r="I11" i="21"/>
  <c r="I12" i="21"/>
  <c r="I13" i="21"/>
  <c r="I14" i="21"/>
  <c r="I15" i="21"/>
  <c r="I16" i="21"/>
  <c r="I17" i="21"/>
  <c r="I18" i="21"/>
  <c r="I19" i="21"/>
  <c r="I22" i="21"/>
  <c r="I23" i="21"/>
  <c r="H9" i="21"/>
  <c r="H11" i="21"/>
  <c r="H13" i="21"/>
  <c r="H15" i="21"/>
  <c r="H17" i="21"/>
  <c r="H19" i="21"/>
  <c r="G9" i="21"/>
  <c r="G10" i="21"/>
  <c r="J10" i="21" s="1"/>
  <c r="G11" i="21"/>
  <c r="G12" i="21"/>
  <c r="J12" i="21" s="1"/>
  <c r="G13" i="21"/>
  <c r="G14" i="21"/>
  <c r="J14" i="21" s="1"/>
  <c r="G15" i="21"/>
  <c r="G16" i="21"/>
  <c r="J16" i="21" s="1"/>
  <c r="G17" i="21"/>
  <c r="G18" i="21"/>
  <c r="J18" i="21" s="1"/>
  <c r="G19" i="21"/>
  <c r="G22" i="21"/>
  <c r="H22" i="21" s="1"/>
  <c r="G23" i="21"/>
  <c r="J23" i="21" s="1"/>
  <c r="G23" i="20"/>
  <c r="J23" i="20" s="1"/>
  <c r="I23" i="20"/>
  <c r="G22" i="20"/>
  <c r="J22" i="20" s="1"/>
  <c r="I22" i="20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9" i="18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I9" i="18"/>
  <c r="I10" i="18"/>
  <c r="I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G31" i="18"/>
  <c r="G32" i="18"/>
  <c r="G33" i="18"/>
  <c r="G34" i="18"/>
  <c r="G35" i="18"/>
  <c r="G36" i="18"/>
  <c r="G24" i="2"/>
  <c r="J24" i="2" s="1"/>
  <c r="I24" i="2"/>
  <c r="G26" i="2"/>
  <c r="H26" i="2" s="1"/>
  <c r="I26" i="2"/>
  <c r="F38" i="2"/>
  <c r="G38" i="2" s="1"/>
  <c r="F35" i="2"/>
  <c r="G35" i="2" s="1"/>
  <c r="F36" i="2"/>
  <c r="G36" i="2" s="1"/>
  <c r="F37" i="2"/>
  <c r="G37" i="2" s="1"/>
  <c r="F39" i="2"/>
  <c r="G39" i="2" s="1"/>
  <c r="I43" i="1"/>
  <c r="J43" i="1" s="1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4" i="20"/>
  <c r="I25" i="20"/>
  <c r="G9" i="20"/>
  <c r="J9" i="20" s="1"/>
  <c r="G10" i="20"/>
  <c r="H10" i="20" s="1"/>
  <c r="G11" i="20"/>
  <c r="J11" i="20" s="1"/>
  <c r="G12" i="20"/>
  <c r="H12" i="20" s="1"/>
  <c r="G13" i="20"/>
  <c r="J13" i="20" s="1"/>
  <c r="G14" i="20"/>
  <c r="H14" i="20" s="1"/>
  <c r="G15" i="20"/>
  <c r="J15" i="20" s="1"/>
  <c r="G16" i="20"/>
  <c r="H16" i="20" s="1"/>
  <c r="G17" i="20"/>
  <c r="J17" i="20" s="1"/>
  <c r="G18" i="20"/>
  <c r="H18" i="20" s="1"/>
  <c r="G19" i="20"/>
  <c r="J19" i="20" s="1"/>
  <c r="G20" i="20"/>
  <c r="H20" i="20" s="1"/>
  <c r="G21" i="20"/>
  <c r="J21" i="20" s="1"/>
  <c r="G24" i="20"/>
  <c r="J24" i="20" s="1"/>
  <c r="G25" i="20"/>
  <c r="J25" i="20" s="1"/>
  <c r="F35" i="19"/>
  <c r="G35" i="19" s="1"/>
  <c r="F33" i="19"/>
  <c r="G33" i="19" s="1"/>
  <c r="F34" i="19"/>
  <c r="G34" i="19" s="1"/>
  <c r="F36" i="19"/>
  <c r="G36" i="19" s="1"/>
  <c r="F32" i="19"/>
  <c r="G32" i="19" s="1"/>
  <c r="F31" i="19"/>
  <c r="G22" i="19"/>
  <c r="H22" i="19" s="1"/>
  <c r="I22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H21" i="19" s="1"/>
  <c r="G23" i="19"/>
  <c r="H23" i="19" s="1"/>
  <c r="G24" i="19"/>
  <c r="H24" i="19" s="1"/>
  <c r="G25" i="19"/>
  <c r="H25" i="19" s="1"/>
  <c r="I13" i="19"/>
  <c r="I14" i="19"/>
  <c r="I15" i="19"/>
  <c r="I16" i="19"/>
  <c r="I17" i="19"/>
  <c r="I18" i="19"/>
  <c r="I19" i="19"/>
  <c r="I20" i="19"/>
  <c r="I21" i="19"/>
  <c r="I23" i="19"/>
  <c r="I24" i="19"/>
  <c r="I25" i="19"/>
  <c r="G21" i="18"/>
  <c r="H21" i="18"/>
  <c r="G20" i="18"/>
  <c r="H20" i="18"/>
  <c r="F30" i="18"/>
  <c r="F31" i="18"/>
  <c r="F32" i="18"/>
  <c r="F33" i="18"/>
  <c r="F34" i="18"/>
  <c r="F35" i="18"/>
  <c r="F36" i="18"/>
  <c r="I44" i="1"/>
  <c r="J44" i="1" s="1"/>
  <c r="I25" i="2"/>
  <c r="I28" i="2"/>
  <c r="G18" i="18"/>
  <c r="H18" i="18" s="1"/>
  <c r="G19" i="18"/>
  <c r="H19" i="18" s="1"/>
  <c r="G22" i="18"/>
  <c r="H22" i="18" s="1"/>
  <c r="G23" i="18"/>
  <c r="H23" i="18" s="1"/>
  <c r="G9" i="2"/>
  <c r="G10" i="2"/>
  <c r="G11" i="2"/>
  <c r="G12" i="2"/>
  <c r="G13" i="2"/>
  <c r="G14" i="2"/>
  <c r="H14" i="2" s="1"/>
  <c r="G15" i="2"/>
  <c r="G16" i="2"/>
  <c r="G17" i="2"/>
  <c r="G18" i="2"/>
  <c r="G19" i="2"/>
  <c r="G20" i="2"/>
  <c r="G21" i="2"/>
  <c r="G22" i="2"/>
  <c r="G23" i="2"/>
  <c r="J23" i="2" s="1"/>
  <c r="G25" i="2"/>
  <c r="H25" i="2" s="1"/>
  <c r="G28" i="2"/>
  <c r="H28" i="2" s="1"/>
  <c r="I39" i="1"/>
  <c r="J39" i="1" s="1"/>
  <c r="I40" i="1"/>
  <c r="J40" i="1" s="1"/>
  <c r="I41" i="1"/>
  <c r="J41" i="1" s="1"/>
  <c r="I42" i="1"/>
  <c r="J42" i="1" s="1"/>
  <c r="D26" i="19"/>
  <c r="F26" i="19"/>
  <c r="E26" i="19"/>
  <c r="E37" i="18"/>
  <c r="D37" i="18"/>
  <c r="F24" i="18"/>
  <c r="E24" i="18"/>
  <c r="D24" i="18"/>
  <c r="D40" i="2"/>
  <c r="G60" i="1"/>
  <c r="E45" i="1"/>
  <c r="H33" i="1"/>
  <c r="G50" i="1" s="1"/>
  <c r="G61" i="1" l="1"/>
  <c r="I60" i="1"/>
  <c r="I50" i="1"/>
  <c r="G55" i="1"/>
  <c r="G57" i="1" s="1"/>
  <c r="H18" i="8"/>
  <c r="H21" i="8"/>
  <c r="H20" i="8"/>
  <c r="H9" i="22"/>
  <c r="J22" i="22"/>
  <c r="J14" i="22"/>
  <c r="J20" i="22"/>
  <c r="J12" i="22"/>
  <c r="J18" i="22"/>
  <c r="J10" i="22"/>
  <c r="H23" i="22"/>
  <c r="H19" i="22"/>
  <c r="H15" i="22"/>
  <c r="H11" i="22"/>
  <c r="H24" i="22"/>
  <c r="H25" i="22"/>
  <c r="H18" i="21"/>
  <c r="H14" i="21"/>
  <c r="H10" i="21"/>
  <c r="H16" i="21"/>
  <c r="H12" i="21"/>
  <c r="H23" i="21"/>
  <c r="J22" i="21"/>
  <c r="J21" i="21"/>
  <c r="H23" i="20"/>
  <c r="H22" i="20"/>
  <c r="H24" i="2"/>
  <c r="J28" i="2"/>
  <c r="J25" i="2"/>
  <c r="J26" i="2"/>
  <c r="H11" i="20"/>
  <c r="H15" i="20"/>
  <c r="H19" i="20"/>
  <c r="H24" i="20"/>
  <c r="H21" i="20"/>
  <c r="H13" i="20"/>
  <c r="H17" i="20"/>
  <c r="H9" i="20"/>
  <c r="J20" i="20"/>
  <c r="J16" i="20"/>
  <c r="J12" i="20"/>
  <c r="J14" i="20"/>
  <c r="J18" i="20"/>
  <c r="J10" i="20"/>
  <c r="H25" i="20"/>
  <c r="AD4" i="13" l="1"/>
  <c r="G25" i="12" l="1"/>
  <c r="AD5" i="13" l="1"/>
  <c r="G24" i="12" l="1"/>
  <c r="J24" i="12" s="1"/>
  <c r="H24" i="12"/>
  <c r="I24" i="12"/>
  <c r="J23" i="12"/>
  <c r="I23" i="12"/>
  <c r="G23" i="12"/>
  <c r="H23" i="12" s="1"/>
  <c r="J22" i="12"/>
  <c r="I22" i="12"/>
  <c r="G22" i="12"/>
  <c r="H22" i="12" s="1"/>
  <c r="J21" i="12"/>
  <c r="I21" i="12"/>
  <c r="G21" i="12"/>
  <c r="H21" i="12"/>
  <c r="J20" i="12"/>
  <c r="I20" i="12"/>
  <c r="G20" i="12"/>
  <c r="H20" i="12" s="1"/>
  <c r="G19" i="12"/>
  <c r="H19" i="12"/>
  <c r="G18" i="12"/>
  <c r="H18" i="12"/>
  <c r="I16" i="12"/>
  <c r="I12" i="12" l="1"/>
  <c r="H19" i="11" l="1"/>
  <c r="I19" i="11" s="1"/>
  <c r="G21" i="11" l="1"/>
  <c r="F21" i="11"/>
  <c r="J17" i="11"/>
  <c r="J14" i="11"/>
  <c r="J10" i="11"/>
  <c r="H53" i="10" l="1"/>
  <c r="H51" i="10"/>
  <c r="F38" i="13" l="1"/>
  <c r="AH5" i="13"/>
  <c r="AG5" i="13"/>
  <c r="AG4" i="13"/>
  <c r="I22" i="10" l="1"/>
  <c r="J22" i="10"/>
  <c r="H49" i="10"/>
  <c r="I15" i="10" l="1"/>
  <c r="I11" i="10"/>
  <c r="I10" i="10"/>
  <c r="H53" i="9" l="1"/>
  <c r="H38" i="9"/>
  <c r="I21" i="9" l="1"/>
  <c r="I16" i="9"/>
  <c r="I15" i="9"/>
  <c r="I11" i="9"/>
  <c r="H51" i="21" l="1"/>
  <c r="I12" i="19" l="1"/>
  <c r="I8" i="18" l="1"/>
  <c r="E29" i="2" l="1"/>
  <c r="F29" i="2"/>
  <c r="D29" i="2"/>
  <c r="I22" i="2"/>
  <c r="I20" i="2"/>
  <c r="I23" i="2"/>
  <c r="H21" i="2"/>
  <c r="H23" i="2"/>
  <c r="H22" i="2"/>
  <c r="J20" i="2"/>
  <c r="I10" i="2"/>
  <c r="I9" i="2"/>
  <c r="H20" i="2" l="1"/>
  <c r="J22" i="2"/>
  <c r="I71" i="1" l="1"/>
  <c r="AI6" i="13" l="1"/>
  <c r="T32" i="13"/>
  <c r="R20" i="13" l="1"/>
  <c r="G29" i="13" l="1"/>
  <c r="C29" i="13"/>
  <c r="B30" i="13" s="1"/>
  <c r="C30" i="13" l="1"/>
  <c r="G30" i="13" s="1"/>
  <c r="B31" i="13"/>
  <c r="C31" i="13" s="1"/>
  <c r="G31" i="13" s="1"/>
  <c r="G18" i="13"/>
  <c r="G9" i="13"/>
  <c r="G20" i="13" l="1"/>
  <c r="J18" i="11"/>
  <c r="E37" i="22" l="1"/>
  <c r="D37" i="22"/>
  <c r="F31" i="22"/>
  <c r="G31" i="22" s="1"/>
  <c r="F26" i="22"/>
  <c r="E26" i="22"/>
  <c r="D26" i="22"/>
  <c r="F43" i="22" s="1"/>
  <c r="I8" i="22"/>
  <c r="G8" i="22"/>
  <c r="H8" i="22" s="1"/>
  <c r="E38" i="21"/>
  <c r="D38" i="21"/>
  <c r="F37" i="21"/>
  <c r="G37" i="21" s="1"/>
  <c r="F36" i="21"/>
  <c r="G36" i="21" s="1"/>
  <c r="F35" i="21"/>
  <c r="G35" i="21" s="1"/>
  <c r="F34" i="21"/>
  <c r="G34" i="21" s="1"/>
  <c r="F33" i="21"/>
  <c r="G33" i="21" s="1"/>
  <c r="F32" i="21"/>
  <c r="G32" i="21" s="1"/>
  <c r="F31" i="21"/>
  <c r="G31" i="21" s="1"/>
  <c r="F30" i="21"/>
  <c r="G30" i="21" s="1"/>
  <c r="F29" i="21"/>
  <c r="G29" i="21" s="1"/>
  <c r="F24" i="21"/>
  <c r="E24" i="21"/>
  <c r="D24" i="21"/>
  <c r="F44" i="21" s="1"/>
  <c r="I8" i="21"/>
  <c r="I24" i="21" s="1"/>
  <c r="G8" i="21"/>
  <c r="H8" i="21" s="1"/>
  <c r="E36" i="20"/>
  <c r="D36" i="20"/>
  <c r="F35" i="20"/>
  <c r="G35" i="20" s="1"/>
  <c r="F34" i="20"/>
  <c r="G34" i="20" s="1"/>
  <c r="F33" i="20"/>
  <c r="G33" i="20" s="1"/>
  <c r="F32" i="20"/>
  <c r="G32" i="20" s="1"/>
  <c r="F31" i="20"/>
  <c r="F26" i="20"/>
  <c r="E26" i="20"/>
  <c r="C7" i="13" s="1"/>
  <c r="D26" i="20"/>
  <c r="F42" i="20" s="1"/>
  <c r="I8" i="20"/>
  <c r="G8" i="20"/>
  <c r="J8" i="20" s="1"/>
  <c r="E37" i="19"/>
  <c r="D37" i="19"/>
  <c r="F43" i="19"/>
  <c r="H20" i="19"/>
  <c r="H19" i="19"/>
  <c r="H18" i="19"/>
  <c r="H17" i="19"/>
  <c r="H15" i="19"/>
  <c r="H14" i="19"/>
  <c r="H13" i="19"/>
  <c r="H12" i="19"/>
  <c r="I11" i="19"/>
  <c r="H11" i="19"/>
  <c r="I10" i="19"/>
  <c r="H10" i="19"/>
  <c r="I9" i="19"/>
  <c r="I8" i="19"/>
  <c r="G8" i="19"/>
  <c r="G30" i="18"/>
  <c r="F29" i="18"/>
  <c r="F43" i="18"/>
  <c r="G17" i="18"/>
  <c r="H17" i="18" s="1"/>
  <c r="G16" i="18"/>
  <c r="H16" i="18" s="1"/>
  <c r="G15" i="18"/>
  <c r="H15" i="18" s="1"/>
  <c r="G14" i="18"/>
  <c r="H14" i="18" s="1"/>
  <c r="G13" i="18"/>
  <c r="H13" i="18" s="1"/>
  <c r="G12" i="18"/>
  <c r="H12" i="18" s="1"/>
  <c r="G11" i="18"/>
  <c r="G10" i="18"/>
  <c r="G9" i="18"/>
  <c r="G8" i="18"/>
  <c r="I19" i="10"/>
  <c r="I18" i="10"/>
  <c r="I9" i="10"/>
  <c r="I26" i="19" l="1"/>
  <c r="I6" i="13" s="1"/>
  <c r="J8" i="19"/>
  <c r="G26" i="19"/>
  <c r="H10" i="18"/>
  <c r="H9" i="18"/>
  <c r="H11" i="18"/>
  <c r="F37" i="18"/>
  <c r="I24" i="18"/>
  <c r="I5" i="13" s="1"/>
  <c r="G24" i="18"/>
  <c r="H16" i="19"/>
  <c r="J12" i="19"/>
  <c r="F37" i="22"/>
  <c r="F49" i="22"/>
  <c r="H49" i="22" s="1"/>
  <c r="H50" i="22" s="1"/>
  <c r="F11" i="13"/>
  <c r="F48" i="22"/>
  <c r="E11" i="13"/>
  <c r="F41" i="22"/>
  <c r="H41" i="22" s="1"/>
  <c r="H44" i="22" s="1"/>
  <c r="B11" i="13"/>
  <c r="F42" i="22"/>
  <c r="C11" i="13"/>
  <c r="F49" i="21"/>
  <c r="E8" i="13"/>
  <c r="F50" i="21"/>
  <c r="H50" i="21" s="1"/>
  <c r="F8" i="13"/>
  <c r="F42" i="21"/>
  <c r="B8" i="13"/>
  <c r="F43" i="21"/>
  <c r="C8" i="13"/>
  <c r="F47" i="20"/>
  <c r="E7" i="13"/>
  <c r="F48" i="20"/>
  <c r="H48" i="20" s="1"/>
  <c r="H49" i="20" s="1"/>
  <c r="F7" i="13"/>
  <c r="H8" i="20"/>
  <c r="F40" i="20"/>
  <c r="H40" i="20" s="1"/>
  <c r="H43" i="20" s="1"/>
  <c r="B7" i="13"/>
  <c r="F41" i="20"/>
  <c r="F48" i="19"/>
  <c r="E6" i="13"/>
  <c r="F49" i="19"/>
  <c r="H49" i="19" s="1"/>
  <c r="F6" i="13"/>
  <c r="F41" i="19"/>
  <c r="H41" i="19" s="1"/>
  <c r="B6" i="13"/>
  <c r="F42" i="19"/>
  <c r="C6" i="13"/>
  <c r="F49" i="18"/>
  <c r="H49" i="18" s="1"/>
  <c r="H50" i="18" s="1"/>
  <c r="F5" i="13"/>
  <c r="F48" i="18"/>
  <c r="E5" i="13"/>
  <c r="F42" i="18"/>
  <c r="C5" i="13"/>
  <c r="F41" i="18"/>
  <c r="B5" i="13"/>
  <c r="G26" i="22"/>
  <c r="I26" i="22"/>
  <c r="I11" i="13" s="1"/>
  <c r="G37" i="22"/>
  <c r="J8" i="22"/>
  <c r="G24" i="21"/>
  <c r="I8" i="13"/>
  <c r="G38" i="21"/>
  <c r="H42" i="21"/>
  <c r="H45" i="21" s="1"/>
  <c r="J8" i="21"/>
  <c r="J24" i="21" s="1"/>
  <c r="F38" i="21"/>
  <c r="I26" i="20"/>
  <c r="I7" i="13" s="1"/>
  <c r="G26" i="20"/>
  <c r="F36" i="20"/>
  <c r="G31" i="20"/>
  <c r="G36" i="20" s="1"/>
  <c r="J10" i="19"/>
  <c r="H8" i="19"/>
  <c r="F37" i="19"/>
  <c r="J11" i="19"/>
  <c r="J9" i="19"/>
  <c r="G31" i="19"/>
  <c r="G37" i="19" s="1"/>
  <c r="H9" i="19"/>
  <c r="G29" i="18"/>
  <c r="G37" i="18" s="1"/>
  <c r="H8" i="18"/>
  <c r="J8" i="18"/>
  <c r="F33" i="9"/>
  <c r="G33" i="9" s="1"/>
  <c r="G21" i="9"/>
  <c r="G19" i="9"/>
  <c r="H19" i="9" s="1"/>
  <c r="G20" i="9"/>
  <c r="H20" i="9" s="1"/>
  <c r="H26" i="19" l="1"/>
  <c r="F44" i="19"/>
  <c r="F46" i="19" s="1"/>
  <c r="H52" i="19" s="1"/>
  <c r="J26" i="19"/>
  <c r="H56" i="19" s="1"/>
  <c r="H24" i="18"/>
  <c r="J24" i="18"/>
  <c r="H55" i="18" s="1"/>
  <c r="H41" i="18"/>
  <c r="H44" i="18" s="1"/>
  <c r="H21" i="9"/>
  <c r="J21" i="9"/>
  <c r="F50" i="22"/>
  <c r="F44" i="22"/>
  <c r="F46" i="22" s="1"/>
  <c r="H51" i="22" s="1"/>
  <c r="H54" i="22" s="1"/>
  <c r="F51" i="21"/>
  <c r="F45" i="21"/>
  <c r="F47" i="21" s="1"/>
  <c r="H53" i="21" s="1"/>
  <c r="H55" i="21" s="1"/>
  <c r="H57" i="21"/>
  <c r="F49" i="20"/>
  <c r="J26" i="20"/>
  <c r="H55" i="20" s="1"/>
  <c r="F43" i="20"/>
  <c r="F45" i="20" s="1"/>
  <c r="H51" i="20" s="1"/>
  <c r="H53" i="20" s="1"/>
  <c r="F50" i="19"/>
  <c r="H48" i="19"/>
  <c r="H50" i="19" s="1"/>
  <c r="F50" i="18"/>
  <c r="F44" i="18"/>
  <c r="F46" i="18" s="1"/>
  <c r="H51" i="18" s="1"/>
  <c r="H49" i="21"/>
  <c r="H24" i="21"/>
  <c r="H26" i="20"/>
  <c r="H44" i="19"/>
  <c r="H26" i="22"/>
  <c r="J26" i="22"/>
  <c r="H56" i="22" s="1"/>
  <c r="I8" i="8"/>
  <c r="H58" i="22" l="1"/>
  <c r="H59" i="21"/>
  <c r="H54" i="19"/>
  <c r="H58" i="19" s="1"/>
  <c r="H53" i="18"/>
  <c r="H57" i="18" s="1"/>
  <c r="H57" i="20"/>
  <c r="E40" i="2" l="1"/>
  <c r="F34" i="2"/>
  <c r="I19" i="2"/>
  <c r="H18" i="2"/>
  <c r="H19" i="2"/>
  <c r="H17" i="2"/>
  <c r="H16" i="2"/>
  <c r="H15" i="2"/>
  <c r="I14" i="2"/>
  <c r="I13" i="2"/>
  <c r="H13" i="2"/>
  <c r="J9" i="2"/>
  <c r="J10" i="2"/>
  <c r="G8" i="2"/>
  <c r="F40" i="2" l="1"/>
  <c r="G29" i="2"/>
  <c r="J19" i="2"/>
  <c r="J13" i="2"/>
  <c r="J14" i="2"/>
  <c r="I38" i="1" l="1"/>
  <c r="J38" i="1" s="1"/>
  <c r="I45" i="1" l="1"/>
  <c r="J33" i="1"/>
  <c r="C41" i="13"/>
  <c r="C39" i="13"/>
  <c r="F39" i="13" s="1"/>
  <c r="C37" i="13"/>
  <c r="E39" i="13"/>
  <c r="E38" i="13"/>
  <c r="Y19" i="13"/>
  <c r="AA19" i="13" s="1"/>
  <c r="AB19" i="13" s="1"/>
  <c r="R19" i="13" s="1"/>
  <c r="F37" i="13" l="1"/>
  <c r="F41" i="13" s="1"/>
  <c r="R9" i="13" s="1"/>
  <c r="E37" i="13"/>
  <c r="K33" i="1"/>
  <c r="E41" i="13"/>
  <c r="AH6" i="13" l="1"/>
  <c r="C32" i="13" l="1"/>
  <c r="Y18" i="13"/>
  <c r="AG6" i="13"/>
  <c r="R18" i="13" s="1"/>
  <c r="F32" i="12" l="1"/>
  <c r="F33" i="12"/>
  <c r="F34" i="12"/>
  <c r="F35" i="12"/>
  <c r="F36" i="12"/>
  <c r="F37" i="12"/>
  <c r="F38" i="12"/>
  <c r="F31" i="12"/>
  <c r="G17" i="12"/>
  <c r="J17" i="12" s="1"/>
  <c r="I17" i="12"/>
  <c r="G10" i="12"/>
  <c r="G11" i="12"/>
  <c r="G12" i="12"/>
  <c r="G13" i="12"/>
  <c r="G14" i="12"/>
  <c r="G15" i="12"/>
  <c r="G16" i="12"/>
  <c r="J16" i="12" s="1"/>
  <c r="G9" i="12"/>
  <c r="D29" i="13" l="1"/>
  <c r="G33" i="11"/>
  <c r="H33" i="11" s="1"/>
  <c r="G32" i="11"/>
  <c r="H32" i="11" s="1"/>
  <c r="G27" i="11"/>
  <c r="G28" i="11"/>
  <c r="G29" i="11"/>
  <c r="G30" i="11"/>
  <c r="G31" i="11"/>
  <c r="G26" i="11"/>
  <c r="D32" i="13" l="1"/>
  <c r="H17" i="11"/>
  <c r="K17" i="11" s="1"/>
  <c r="J16" i="11"/>
  <c r="H16" i="11"/>
  <c r="K16" i="11" s="1"/>
  <c r="H15" i="11"/>
  <c r="I15" i="11" s="1"/>
  <c r="H18" i="11"/>
  <c r="H20" i="11"/>
  <c r="I20" i="11" s="1"/>
  <c r="H8" i="11"/>
  <c r="H9" i="11"/>
  <c r="H10" i="11"/>
  <c r="H12" i="11"/>
  <c r="H13" i="11"/>
  <c r="I13" i="11" s="1"/>
  <c r="H14" i="11"/>
  <c r="H11" i="11"/>
  <c r="H21" i="11" l="1"/>
  <c r="I14" i="11"/>
  <c r="K14" i="11"/>
  <c r="I18" i="11"/>
  <c r="K18" i="11"/>
  <c r="I12" i="11"/>
  <c r="I16" i="11"/>
  <c r="I17" i="11"/>
  <c r="F28" i="10" l="1"/>
  <c r="F29" i="10"/>
  <c r="F30" i="10"/>
  <c r="F31" i="10"/>
  <c r="F32" i="10"/>
  <c r="F33" i="10"/>
  <c r="F34" i="10"/>
  <c r="F35" i="10"/>
  <c r="F36" i="10"/>
  <c r="F27" i="10"/>
  <c r="I21" i="10"/>
  <c r="G20" i="10"/>
  <c r="G19" i="10"/>
  <c r="J19" i="10" s="1"/>
  <c r="G18" i="10"/>
  <c r="H18" i="10" s="1"/>
  <c r="G16" i="10"/>
  <c r="G17" i="10"/>
  <c r="H17" i="10" s="1"/>
  <c r="G14" i="10"/>
  <c r="G15" i="10"/>
  <c r="G21" i="10"/>
  <c r="H21" i="10" s="1"/>
  <c r="G9" i="10"/>
  <c r="J9" i="10" s="1"/>
  <c r="G10" i="10"/>
  <c r="J10" i="10" s="1"/>
  <c r="G11" i="10"/>
  <c r="J11" i="10" s="1"/>
  <c r="G12" i="10"/>
  <c r="G13" i="10"/>
  <c r="G8" i="10"/>
  <c r="H15" i="10" l="1"/>
  <c r="J15" i="10"/>
  <c r="H19" i="10"/>
  <c r="H20" i="10"/>
  <c r="J18" i="10"/>
  <c r="J21" i="10"/>
  <c r="H16" i="10"/>
  <c r="H14" i="10"/>
  <c r="F22" i="9"/>
  <c r="F28" i="9" l="1"/>
  <c r="F29" i="9"/>
  <c r="F30" i="9"/>
  <c r="F31" i="9"/>
  <c r="F32" i="9"/>
  <c r="F27" i="9"/>
  <c r="D22" i="9"/>
  <c r="E22" i="9"/>
  <c r="G17" i="9"/>
  <c r="H17" i="9" s="1"/>
  <c r="G18" i="9"/>
  <c r="J18" i="9" s="1"/>
  <c r="G11" i="9"/>
  <c r="J11" i="9" s="1"/>
  <c r="G12" i="9"/>
  <c r="G13" i="9"/>
  <c r="G14" i="9"/>
  <c r="H14" i="9" s="1"/>
  <c r="G15" i="9"/>
  <c r="J15" i="9" s="1"/>
  <c r="G16" i="9"/>
  <c r="G9" i="9"/>
  <c r="G10" i="9"/>
  <c r="G8" i="9"/>
  <c r="H16" i="9" l="1"/>
  <c r="J16" i="9"/>
  <c r="G22" i="9"/>
  <c r="H15" i="9"/>
  <c r="H18" i="9"/>
  <c r="H13" i="9"/>
  <c r="H11" i="9"/>
  <c r="H12" i="9"/>
  <c r="G8" i="8" l="1"/>
  <c r="J8" i="8" s="1"/>
  <c r="I8" i="2" l="1"/>
  <c r="I29" i="2" s="1"/>
  <c r="J12" i="13"/>
  <c r="J13" i="13"/>
  <c r="J14" i="13"/>
  <c r="J15" i="13"/>
  <c r="J16" i="13"/>
  <c r="Q33" i="14"/>
  <c r="P33" i="14"/>
  <c r="AK41" i="14"/>
  <c r="AJ41" i="14"/>
  <c r="P35" i="14" l="1"/>
  <c r="AJ43" i="14"/>
  <c r="H17" i="12" l="1"/>
  <c r="H25" i="12"/>
  <c r="AV137" i="14"/>
  <c r="AW137" i="14" s="1"/>
  <c r="AV138" i="14"/>
  <c r="AW138" i="14" s="1"/>
  <c r="AV139" i="14"/>
  <c r="AW139" i="14" s="1"/>
  <c r="AV140" i="14"/>
  <c r="AW140" i="14" s="1"/>
  <c r="AV141" i="14"/>
  <c r="AW141" i="14" s="1"/>
  <c r="AV142" i="14"/>
  <c r="AW142" i="14" s="1"/>
  <c r="AV129" i="14"/>
  <c r="AW129" i="14" s="1"/>
  <c r="AV130" i="14"/>
  <c r="AW130" i="14" s="1"/>
  <c r="AV131" i="14"/>
  <c r="AW131" i="14" s="1"/>
  <c r="AV132" i="14"/>
  <c r="AW132" i="14" s="1"/>
  <c r="AV133" i="14"/>
  <c r="AW133" i="14" s="1"/>
  <c r="AV134" i="14"/>
  <c r="AW134" i="14" s="1"/>
  <c r="AV135" i="14"/>
  <c r="AW135" i="14" s="1"/>
  <c r="AV136" i="14"/>
  <c r="AW136" i="14" s="1"/>
  <c r="AV125" i="14"/>
  <c r="AW125" i="14" s="1"/>
  <c r="AV126" i="14"/>
  <c r="AW126" i="14" s="1"/>
  <c r="AV127" i="14"/>
  <c r="AW127" i="14" s="1"/>
  <c r="AV128" i="14"/>
  <c r="AW128" i="14" s="1"/>
  <c r="AV123" i="14"/>
  <c r="AW123" i="14" s="1"/>
  <c r="AV124" i="14"/>
  <c r="AW124" i="14" s="1"/>
  <c r="AV122" i="14"/>
  <c r="AW122" i="14" s="1"/>
  <c r="AV121" i="14"/>
  <c r="AW121" i="14" s="1"/>
  <c r="H16" i="12" l="1"/>
  <c r="H32" i="14"/>
  <c r="I32" i="14" s="1"/>
  <c r="H33" i="14"/>
  <c r="I33" i="14" s="1"/>
  <c r="H34" i="14"/>
  <c r="I34" i="14" s="1"/>
  <c r="H35" i="14"/>
  <c r="I35" i="14" s="1"/>
  <c r="H36" i="14"/>
  <c r="I36" i="14" s="1"/>
  <c r="H37" i="14"/>
  <c r="I37" i="14" s="1"/>
  <c r="G37" i="12" l="1"/>
  <c r="G36" i="12"/>
  <c r="G34" i="12"/>
  <c r="G35" i="12"/>
  <c r="G38" i="12"/>
  <c r="AV120" i="14" l="1"/>
  <c r="AW120" i="14" s="1"/>
  <c r="AV118" i="14"/>
  <c r="AW118" i="14" s="1"/>
  <c r="AV119" i="14"/>
  <c r="AW119" i="14" s="1"/>
  <c r="AV116" i="14"/>
  <c r="AW116" i="14" s="1"/>
  <c r="AV117" i="14"/>
  <c r="AW117" i="14" s="1"/>
  <c r="AV113" i="14"/>
  <c r="AW113" i="14" s="1"/>
  <c r="AV114" i="14"/>
  <c r="AW114" i="14" s="1"/>
  <c r="AV115" i="14"/>
  <c r="AW115" i="14" s="1"/>
  <c r="H31" i="11" l="1"/>
  <c r="H29" i="11"/>
  <c r="H30" i="11"/>
  <c r="AV110" i="14" l="1"/>
  <c r="AW110" i="14" s="1"/>
  <c r="AV111" i="14"/>
  <c r="AW111" i="14" s="1"/>
  <c r="AV112" i="14"/>
  <c r="AW112" i="14" s="1"/>
  <c r="AV105" i="14"/>
  <c r="AW105" i="14" s="1"/>
  <c r="AV106" i="14"/>
  <c r="AW106" i="14" s="1"/>
  <c r="AV107" i="14"/>
  <c r="AW107" i="14" s="1"/>
  <c r="AV108" i="14"/>
  <c r="AW108" i="14" s="1"/>
  <c r="AV109" i="14"/>
  <c r="AW109" i="14" s="1"/>
  <c r="G35" i="10" l="1"/>
  <c r="G34" i="10"/>
  <c r="G31" i="10"/>
  <c r="G32" i="10"/>
  <c r="G33" i="10"/>
  <c r="G36" i="10"/>
  <c r="G30" i="10"/>
  <c r="H8" i="10"/>
  <c r="G29" i="9"/>
  <c r="G30" i="9"/>
  <c r="G31" i="9"/>
  <c r="G32" i="9"/>
  <c r="H52" i="14"/>
  <c r="I52" i="14" s="1"/>
  <c r="H53" i="14"/>
  <c r="I53" i="14" s="1"/>
  <c r="H54" i="14"/>
  <c r="I54" i="14" s="1"/>
  <c r="H55" i="14"/>
  <c r="I55" i="14" s="1"/>
  <c r="H56" i="14"/>
  <c r="I56" i="14" s="1"/>
  <c r="H57" i="14"/>
  <c r="I57" i="14" s="1"/>
  <c r="H58" i="14"/>
  <c r="I58" i="14" s="1"/>
  <c r="H59" i="14"/>
  <c r="I59" i="14" s="1"/>
  <c r="H60" i="14"/>
  <c r="I60" i="14" s="1"/>
  <c r="H61" i="14"/>
  <c r="I61" i="14" s="1"/>
  <c r="AV99" i="14"/>
  <c r="AW99" i="14" s="1"/>
  <c r="AV100" i="14"/>
  <c r="AW100" i="14" s="1"/>
  <c r="AV101" i="14"/>
  <c r="AW101" i="14" s="1"/>
  <c r="AV102" i="14"/>
  <c r="AW102" i="14" s="1"/>
  <c r="AV103" i="14"/>
  <c r="AW103" i="14" s="1"/>
  <c r="AV104" i="14"/>
  <c r="AW104" i="14" s="1"/>
  <c r="AV81" i="14" l="1"/>
  <c r="AV82" i="14"/>
  <c r="AV83" i="14"/>
  <c r="AV84" i="14"/>
  <c r="AV85" i="14"/>
  <c r="AV86" i="14"/>
  <c r="AV87" i="14"/>
  <c r="AV88" i="14"/>
  <c r="AV89" i="14"/>
  <c r="AV90" i="14"/>
  <c r="AV91" i="14"/>
  <c r="AV92" i="14"/>
  <c r="AV93" i="14"/>
  <c r="AV94" i="14"/>
  <c r="AV95" i="14"/>
  <c r="AV96" i="14"/>
  <c r="AV97" i="14"/>
  <c r="AV98" i="14"/>
  <c r="AV80" i="14"/>
  <c r="R22" i="14"/>
  <c r="R23" i="14"/>
  <c r="R24" i="14"/>
  <c r="R25" i="14"/>
  <c r="R26" i="14"/>
  <c r="R27" i="14"/>
  <c r="R28" i="14"/>
  <c r="R29" i="14"/>
  <c r="R30" i="14"/>
  <c r="R31" i="14"/>
  <c r="R32" i="14"/>
  <c r="R21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18" i="14" l="1"/>
  <c r="I18" i="14" s="1"/>
  <c r="H19" i="14"/>
  <c r="I19" i="14" s="1"/>
  <c r="H20" i="14"/>
  <c r="I20" i="14" s="1"/>
  <c r="H21" i="14"/>
  <c r="I21" i="14" s="1"/>
  <c r="H22" i="14"/>
  <c r="I22" i="14" s="1"/>
  <c r="H23" i="14"/>
  <c r="I23" i="14" s="1"/>
  <c r="H17" i="14"/>
  <c r="I17" i="14" s="1"/>
  <c r="H14" i="14"/>
  <c r="I14" i="14" s="1"/>
  <c r="H15" i="14"/>
  <c r="H16" i="14"/>
  <c r="I16" i="14" s="1"/>
  <c r="I15" i="14"/>
  <c r="H12" i="14"/>
  <c r="I12" i="14" s="1"/>
  <c r="H13" i="14"/>
  <c r="I13" i="14" s="1"/>
  <c r="C3" i="13" l="1"/>
  <c r="BF89" i="17" l="1"/>
  <c r="BB87" i="17"/>
  <c r="I36" i="17"/>
  <c r="I37" i="17"/>
  <c r="I38" i="17"/>
  <c r="I39" i="17"/>
  <c r="I40" i="17"/>
  <c r="I41" i="17"/>
  <c r="I42" i="17"/>
  <c r="BD6" i="17"/>
  <c r="BE6" i="17" s="1"/>
  <c r="BD7" i="17"/>
  <c r="BE7" i="17" s="1"/>
  <c r="BD8" i="17"/>
  <c r="BE8" i="17" s="1"/>
  <c r="BD9" i="17"/>
  <c r="BD10" i="17"/>
  <c r="BE10" i="17" s="1"/>
  <c r="BD11" i="17"/>
  <c r="BE11" i="17" s="1"/>
  <c r="BD12" i="17"/>
  <c r="BE12" i="17" s="1"/>
  <c r="BD13" i="17"/>
  <c r="BE13" i="17" s="1"/>
  <c r="BD14" i="17"/>
  <c r="BE14" i="17" s="1"/>
  <c r="BD15" i="17"/>
  <c r="BE15" i="17" s="1"/>
  <c r="BD16" i="17"/>
  <c r="BD17" i="17"/>
  <c r="BE17" i="17" s="1"/>
  <c r="BD18" i="17"/>
  <c r="BE18" i="17" s="1"/>
  <c r="BD19" i="17"/>
  <c r="BE19" i="17" s="1"/>
  <c r="BD20" i="17"/>
  <c r="BE20" i="17" s="1"/>
  <c r="BD21" i="17"/>
  <c r="BE21" i="17" s="1"/>
  <c r="BD22" i="17"/>
  <c r="BE22" i="17" s="1"/>
  <c r="BD23" i="17"/>
  <c r="BD24" i="17"/>
  <c r="BE24" i="17" s="1"/>
  <c r="BD25" i="17"/>
  <c r="BE25" i="17" s="1"/>
  <c r="BD26" i="17"/>
  <c r="BE26" i="17" s="1"/>
  <c r="BD27" i="17"/>
  <c r="BE27" i="17" s="1"/>
  <c r="BD28" i="17"/>
  <c r="BD29" i="17"/>
  <c r="BE29" i="17" s="1"/>
  <c r="BD30" i="17"/>
  <c r="BE30" i="17" s="1"/>
  <c r="BD31" i="17"/>
  <c r="BE31" i="17" s="1"/>
  <c r="BD32" i="17"/>
  <c r="BE32" i="17" s="1"/>
  <c r="BD33" i="17"/>
  <c r="BE33" i="17" s="1"/>
  <c r="BD34" i="17"/>
  <c r="BE34" i="17" s="1"/>
  <c r="BD35" i="17"/>
  <c r="BE35" i="17" s="1"/>
  <c r="BD36" i="17"/>
  <c r="BE36" i="17" s="1"/>
  <c r="BD37" i="17"/>
  <c r="BE37" i="17" s="1"/>
  <c r="BD38" i="17"/>
  <c r="BE38" i="17" s="1"/>
  <c r="BD39" i="17"/>
  <c r="BE39" i="17" s="1"/>
  <c r="BD40" i="17"/>
  <c r="BD41" i="17"/>
  <c r="BD42" i="17"/>
  <c r="BE42" i="17" s="1"/>
  <c r="BD43" i="17"/>
  <c r="BE43" i="17" s="1"/>
  <c r="BD44" i="17"/>
  <c r="BE44" i="17" s="1"/>
  <c r="BD45" i="17"/>
  <c r="BE45" i="17" s="1"/>
  <c r="BD46" i="17"/>
  <c r="BE46" i="17" s="1"/>
  <c r="BD47" i="17"/>
  <c r="BE47" i="17" s="1"/>
  <c r="BD48" i="17"/>
  <c r="BE48" i="17" s="1"/>
  <c r="BD49" i="17"/>
  <c r="BD50" i="17"/>
  <c r="BE50" i="17" s="1"/>
  <c r="BD51" i="17"/>
  <c r="BE51" i="17" s="1"/>
  <c r="BD52" i="17"/>
  <c r="BE52" i="17" s="1"/>
  <c r="BD53" i="17"/>
  <c r="BE53" i="17" s="1"/>
  <c r="BD54" i="17"/>
  <c r="BE54" i="17" s="1"/>
  <c r="BD55" i="17"/>
  <c r="BE55" i="17" s="1"/>
  <c r="BD56" i="17"/>
  <c r="BD57" i="17"/>
  <c r="BE57" i="17" s="1"/>
  <c r="BD58" i="17"/>
  <c r="BE58" i="17" s="1"/>
  <c r="BD59" i="17"/>
  <c r="BE59" i="17" s="1"/>
  <c r="BD60" i="17"/>
  <c r="BE60" i="17" s="1"/>
  <c r="BD61" i="17"/>
  <c r="BE61" i="17" s="1"/>
  <c r="BD62" i="17"/>
  <c r="BD63" i="17"/>
  <c r="BE63" i="17" s="1"/>
  <c r="BD64" i="17"/>
  <c r="BE64" i="17" s="1"/>
  <c r="BD65" i="17"/>
  <c r="BE65" i="17" s="1"/>
  <c r="BD66" i="17"/>
  <c r="BE66" i="17" s="1"/>
  <c r="BD67" i="17"/>
  <c r="BE67" i="17" s="1"/>
  <c r="BD68" i="17"/>
  <c r="BE68" i="17" s="1"/>
  <c r="BD69" i="17"/>
  <c r="BE69" i="17" s="1"/>
  <c r="BD70" i="17"/>
  <c r="BE70" i="17" s="1"/>
  <c r="BD71" i="17"/>
  <c r="BE71" i="17" s="1"/>
  <c r="BD72" i="17"/>
  <c r="BE72" i="17" s="1"/>
  <c r="BD73" i="17"/>
  <c r="BE73" i="17" s="1"/>
  <c r="BD74" i="17"/>
  <c r="BE74" i="17" s="1"/>
  <c r="BD75" i="17"/>
  <c r="BE75" i="17" s="1"/>
  <c r="BD76" i="17"/>
  <c r="BE76" i="17" s="1"/>
  <c r="BD77" i="17"/>
  <c r="BE77" i="17" s="1"/>
  <c r="BD78" i="17"/>
  <c r="BE78" i="17" s="1"/>
  <c r="BD79" i="17"/>
  <c r="BE79" i="17" s="1"/>
  <c r="BD80" i="17"/>
  <c r="BE80" i="17" s="1"/>
  <c r="BD81" i="17"/>
  <c r="BE81" i="17" s="1"/>
  <c r="BD82" i="17"/>
  <c r="BE82" i="17" s="1"/>
  <c r="BD83" i="17"/>
  <c r="BE83" i="17" s="1"/>
  <c r="BD84" i="17"/>
  <c r="BE84" i="17" s="1"/>
  <c r="BD85" i="17"/>
  <c r="BE85" i="17" s="1"/>
  <c r="BD86" i="17"/>
  <c r="BE86" i="17" s="1"/>
  <c r="BD5" i="17"/>
  <c r="BE5" i="17" s="1"/>
  <c r="AT41" i="17"/>
  <c r="AQ39" i="17"/>
  <c r="AP39" i="17"/>
  <c r="AD37" i="17"/>
  <c r="AH39" i="17"/>
  <c r="V78" i="17"/>
  <c r="J91" i="17"/>
  <c r="BC87" i="17"/>
  <c r="G89" i="17"/>
  <c r="F89" i="17"/>
  <c r="H35" i="17"/>
  <c r="I35" i="17" s="1"/>
  <c r="AW77" i="17"/>
  <c r="AW78" i="17" s="1"/>
  <c r="AW79" i="17" s="1"/>
  <c r="AW80" i="17" s="1"/>
  <c r="AW81" i="17" s="1"/>
  <c r="AW82" i="17" s="1"/>
  <c r="AW83" i="17" s="1"/>
  <c r="AW84" i="17" s="1"/>
  <c r="H34" i="17"/>
  <c r="H33" i="17"/>
  <c r="I33" i="17" s="1"/>
  <c r="BE49" i="17"/>
  <c r="H86" i="17"/>
  <c r="I86" i="17" s="1"/>
  <c r="H6" i="17"/>
  <c r="I6" i="17" s="1"/>
  <c r="S76" i="17"/>
  <c r="R76" i="17"/>
  <c r="H5" i="17"/>
  <c r="I5" i="17" s="1"/>
  <c r="BE41" i="17"/>
  <c r="T70" i="17"/>
  <c r="U70" i="17" s="1"/>
  <c r="H32" i="17"/>
  <c r="I32" i="17" s="1"/>
  <c r="BE40" i="17"/>
  <c r="T15" i="17"/>
  <c r="U15" i="17" s="1"/>
  <c r="H83" i="17"/>
  <c r="I83" i="17" s="1"/>
  <c r="T49" i="17"/>
  <c r="U49" i="17" s="1"/>
  <c r="H31" i="17"/>
  <c r="I31" i="17" s="1"/>
  <c r="BE9" i="17"/>
  <c r="T48" i="17"/>
  <c r="U48" i="17" s="1"/>
  <c r="H30" i="17"/>
  <c r="I30" i="17" s="1"/>
  <c r="T11" i="17"/>
  <c r="U11" i="17" s="1"/>
  <c r="H60" i="17"/>
  <c r="I60" i="17" s="1"/>
  <c r="T57" i="17"/>
  <c r="U57" i="17" s="1"/>
  <c r="H59" i="17"/>
  <c r="I59" i="17" s="1"/>
  <c r="T75" i="17"/>
  <c r="U75" i="17" s="1"/>
  <c r="H29" i="17"/>
  <c r="I29" i="17" s="1"/>
  <c r="T74" i="17"/>
  <c r="U74" i="17" s="1"/>
  <c r="H53" i="17"/>
  <c r="I53" i="17" s="1"/>
  <c r="T73" i="17"/>
  <c r="U73" i="17" s="1"/>
  <c r="H62" i="17"/>
  <c r="I62" i="17" s="1"/>
  <c r="BE62" i="17"/>
  <c r="T7" i="17"/>
  <c r="U7" i="17" s="1"/>
  <c r="H28" i="17"/>
  <c r="I28" i="17" s="1"/>
  <c r="T9" i="17"/>
  <c r="U9" i="17" s="1"/>
  <c r="H52" i="17"/>
  <c r="I52" i="17" s="1"/>
  <c r="T8" i="17"/>
  <c r="U8" i="17" s="1"/>
  <c r="H27" i="17"/>
  <c r="I27" i="17" s="1"/>
  <c r="T18" i="17"/>
  <c r="U18" i="17" s="1"/>
  <c r="H87" i="17"/>
  <c r="I87" i="17" s="1"/>
  <c r="T17" i="17"/>
  <c r="U17" i="17" s="1"/>
  <c r="H26" i="17"/>
  <c r="I26" i="17" s="1"/>
  <c r="T71" i="17"/>
  <c r="U71" i="17" s="1"/>
  <c r="H25" i="17"/>
  <c r="I25" i="17" s="1"/>
  <c r="T69" i="17"/>
  <c r="U69" i="17" s="1"/>
  <c r="H24" i="17"/>
  <c r="I24" i="17" s="1"/>
  <c r="T41" i="17"/>
  <c r="U41" i="17" s="1"/>
  <c r="H23" i="17"/>
  <c r="I23" i="17" s="1"/>
  <c r="T20" i="17"/>
  <c r="U20" i="17" s="1"/>
  <c r="H58" i="17"/>
  <c r="I58" i="17" s="1"/>
  <c r="T44" i="17"/>
  <c r="U44" i="17" s="1"/>
  <c r="H61" i="17"/>
  <c r="I61" i="17" s="1"/>
  <c r="T14" i="17"/>
  <c r="U14" i="17" s="1"/>
  <c r="H85" i="17"/>
  <c r="I85" i="17" s="1"/>
  <c r="T5" i="17"/>
  <c r="U5" i="17" s="1"/>
  <c r="H22" i="17"/>
  <c r="I22" i="17" s="1"/>
  <c r="T12" i="17"/>
  <c r="U12" i="17" s="1"/>
  <c r="H21" i="17"/>
  <c r="I21" i="17" s="1"/>
  <c r="T56" i="17"/>
  <c r="U56" i="17" s="1"/>
  <c r="H55" i="17"/>
  <c r="I55" i="17" s="1"/>
  <c r="AE37" i="17"/>
  <c r="T62" i="17"/>
  <c r="U62" i="17" s="1"/>
  <c r="H54" i="17"/>
  <c r="I54" i="17" s="1"/>
  <c r="T61" i="17"/>
  <c r="U61" i="17" s="1"/>
  <c r="H20" i="17"/>
  <c r="I20" i="17" s="1"/>
  <c r="BE28" i="17"/>
  <c r="T68" i="17"/>
  <c r="U68" i="17" s="1"/>
  <c r="H57" i="17"/>
  <c r="I57" i="17" s="1"/>
  <c r="T60" i="17"/>
  <c r="U60" i="17" s="1"/>
  <c r="H12" i="17"/>
  <c r="I12" i="17" s="1"/>
  <c r="T40" i="17"/>
  <c r="U40" i="17" s="1"/>
  <c r="H11" i="17"/>
  <c r="I11" i="17" s="1"/>
  <c r="T39" i="17"/>
  <c r="U39" i="17" s="1"/>
  <c r="H10" i="17"/>
  <c r="I10" i="17" s="1"/>
  <c r="T38" i="17"/>
  <c r="U38" i="17" s="1"/>
  <c r="H9" i="17"/>
  <c r="I9" i="17" s="1"/>
  <c r="T37" i="17"/>
  <c r="U37" i="17" s="1"/>
  <c r="H8" i="17"/>
  <c r="I8" i="17" s="1"/>
  <c r="T46" i="17"/>
  <c r="U46" i="17" s="1"/>
  <c r="H7" i="17"/>
  <c r="I7" i="17" s="1"/>
  <c r="T67" i="17"/>
  <c r="U67" i="17" s="1"/>
  <c r="H19" i="17"/>
  <c r="I19" i="17" s="1"/>
  <c r="T45" i="17"/>
  <c r="U45" i="17" s="1"/>
  <c r="H82" i="17"/>
  <c r="I82" i="17" s="1"/>
  <c r="T53" i="17"/>
  <c r="U53" i="17" s="1"/>
  <c r="H81" i="17"/>
  <c r="I81" i="17" s="1"/>
  <c r="A81" i="17"/>
  <c r="A82" i="17" s="1"/>
  <c r="A19" i="17" s="1"/>
  <c r="T66" i="17"/>
  <c r="U66" i="17" s="1"/>
  <c r="H80" i="17"/>
  <c r="I80" i="17" s="1"/>
  <c r="T65" i="17"/>
  <c r="U65" i="17" s="1"/>
  <c r="H79" i="17"/>
  <c r="I79" i="17" s="1"/>
  <c r="AR38" i="17"/>
  <c r="AS38" i="17" s="1"/>
  <c r="AF36" i="17"/>
  <c r="AG36" i="17" s="1"/>
  <c r="T64" i="17"/>
  <c r="U64" i="17" s="1"/>
  <c r="H78" i="17"/>
  <c r="I78" i="17" s="1"/>
  <c r="AR37" i="17"/>
  <c r="AS37" i="17" s="1"/>
  <c r="T47" i="17"/>
  <c r="U47" i="17" s="1"/>
  <c r="H77" i="17"/>
  <c r="I77" i="17" s="1"/>
  <c r="BE23" i="17"/>
  <c r="AR19" i="17"/>
  <c r="AS19" i="17" s="1"/>
  <c r="AF31" i="17"/>
  <c r="AG31" i="17" s="1"/>
  <c r="T6" i="17"/>
  <c r="U6" i="17" s="1"/>
  <c r="H76" i="17"/>
  <c r="I76" i="17" s="1"/>
  <c r="AR18" i="17"/>
  <c r="AS18" i="17" s="1"/>
  <c r="AF30" i="17"/>
  <c r="AG30" i="17" s="1"/>
  <c r="T54" i="17"/>
  <c r="U54" i="17" s="1"/>
  <c r="H75" i="17"/>
  <c r="I75" i="17" s="1"/>
  <c r="BE56" i="17"/>
  <c r="AR17" i="17"/>
  <c r="AS17" i="17" s="1"/>
  <c r="AF29" i="17"/>
  <c r="AG29" i="17" s="1"/>
  <c r="T59" i="17"/>
  <c r="U59" i="17" s="1"/>
  <c r="H51" i="17"/>
  <c r="I51" i="17" s="1"/>
  <c r="AR16" i="17"/>
  <c r="AS16" i="17" s="1"/>
  <c r="AF28" i="17"/>
  <c r="AG28" i="17" s="1"/>
  <c r="T58" i="17"/>
  <c r="U58" i="17" s="1"/>
  <c r="H50" i="17"/>
  <c r="I50" i="17" s="1"/>
  <c r="AR15" i="17"/>
  <c r="AS15" i="17" s="1"/>
  <c r="AF27" i="17"/>
  <c r="AG27" i="17" s="1"/>
  <c r="T36" i="17"/>
  <c r="U36" i="17" s="1"/>
  <c r="H56" i="17"/>
  <c r="I56" i="17" s="1"/>
  <c r="AR14" i="17"/>
  <c r="AS14" i="17" s="1"/>
  <c r="AF19" i="17"/>
  <c r="AG19" i="17" s="1"/>
  <c r="T35" i="17"/>
  <c r="U35" i="17" s="1"/>
  <c r="H84" i="17"/>
  <c r="I84" i="17" s="1"/>
  <c r="AR13" i="17"/>
  <c r="AS13" i="17" s="1"/>
  <c r="AF18" i="17"/>
  <c r="AG18" i="17" s="1"/>
  <c r="T34" i="17"/>
  <c r="U34" i="17" s="1"/>
  <c r="H45" i="17"/>
  <c r="I45" i="17" s="1"/>
  <c r="AR12" i="17"/>
  <c r="AS12" i="17" s="1"/>
  <c r="AF17" i="17"/>
  <c r="AG17" i="17" s="1"/>
  <c r="T51" i="17"/>
  <c r="U51" i="17" s="1"/>
  <c r="H18" i="17"/>
  <c r="I18" i="17" s="1"/>
  <c r="AR11" i="17"/>
  <c r="AS11" i="17" s="1"/>
  <c r="AK28" i="17"/>
  <c r="AK29" i="17" s="1"/>
  <c r="AK30" i="17" s="1"/>
  <c r="AK31" i="17" s="1"/>
  <c r="AK32" i="17" s="1"/>
  <c r="AK33" i="17" s="1"/>
  <c r="AK34" i="17" s="1"/>
  <c r="AK35" i="17" s="1"/>
  <c r="AK36" i="17" s="1"/>
  <c r="AK37" i="17" s="1"/>
  <c r="AK38" i="17" s="1"/>
  <c r="AF16" i="17"/>
  <c r="AG16" i="17" s="1"/>
  <c r="T55" i="17"/>
  <c r="U55" i="17" s="1"/>
  <c r="H17" i="17"/>
  <c r="I17" i="17" s="1"/>
  <c r="AR10" i="17"/>
  <c r="AS10" i="17" s="1"/>
  <c r="AF20" i="17"/>
  <c r="AG20" i="17" s="1"/>
  <c r="T50" i="17"/>
  <c r="U50" i="17" s="1"/>
  <c r="H74" i="17"/>
  <c r="I74" i="17" s="1"/>
  <c r="AR35" i="17"/>
  <c r="AS35" i="17" s="1"/>
  <c r="AF10" i="17"/>
  <c r="AG10" i="17" s="1"/>
  <c r="T33" i="17"/>
  <c r="U33" i="17" s="1"/>
  <c r="H73" i="17"/>
  <c r="I73" i="17" s="1"/>
  <c r="AR34" i="17"/>
  <c r="AS34" i="17" s="1"/>
  <c r="T32" i="17"/>
  <c r="U32" i="17" s="1"/>
  <c r="H16" i="17"/>
  <c r="I16" i="17" s="1"/>
  <c r="AR33" i="17"/>
  <c r="AS33" i="17" s="1"/>
  <c r="AF23" i="17"/>
  <c r="AG23" i="17" s="1"/>
  <c r="T31" i="17"/>
  <c r="U31" i="17" s="1"/>
  <c r="H72" i="17"/>
  <c r="I72" i="17" s="1"/>
  <c r="AR32" i="17"/>
  <c r="AS32" i="17" s="1"/>
  <c r="AF11" i="17"/>
  <c r="AG11" i="17" s="1"/>
  <c r="T30" i="17"/>
  <c r="U30" i="17" s="1"/>
  <c r="H71" i="17"/>
  <c r="I71" i="17" s="1"/>
  <c r="AR31" i="17"/>
  <c r="AS31" i="17" s="1"/>
  <c r="AF5" i="17"/>
  <c r="AG5" i="17" s="1"/>
  <c r="T52" i="17"/>
  <c r="U52" i="17" s="1"/>
  <c r="H70" i="17"/>
  <c r="I70" i="17" s="1"/>
  <c r="AR30" i="17"/>
  <c r="AS30" i="17" s="1"/>
  <c r="AF9" i="17"/>
  <c r="AG9" i="17" s="1"/>
  <c r="T19" i="17"/>
  <c r="U19" i="17" s="1"/>
  <c r="H69" i="17"/>
  <c r="I69" i="17" s="1"/>
  <c r="AR29" i="17"/>
  <c r="AS29" i="17" s="1"/>
  <c r="AF8" i="17"/>
  <c r="AG8" i="17" s="1"/>
  <c r="T23" i="17"/>
  <c r="U23" i="17" s="1"/>
  <c r="H68" i="17"/>
  <c r="I68" i="17" s="1"/>
  <c r="AR28" i="17"/>
  <c r="AS28" i="17" s="1"/>
  <c r="AF22" i="17"/>
  <c r="AG22" i="17" s="1"/>
  <c r="T22" i="17"/>
  <c r="U22" i="17" s="1"/>
  <c r="H67" i="17"/>
  <c r="I67" i="17" s="1"/>
  <c r="BE16" i="17"/>
  <c r="AR27" i="17"/>
  <c r="AS27" i="17" s="1"/>
  <c r="AF7" i="17"/>
  <c r="AG7" i="17" s="1"/>
  <c r="T63" i="17"/>
  <c r="U63" i="17" s="1"/>
  <c r="H66" i="17"/>
  <c r="I66" i="17" s="1"/>
  <c r="AR9" i="17"/>
  <c r="AS9" i="17" s="1"/>
  <c r="AF34" i="17"/>
  <c r="AG34" i="17" s="1"/>
  <c r="T21" i="17"/>
  <c r="U21" i="17" s="1"/>
  <c r="H65" i="17"/>
  <c r="I65" i="17" s="1"/>
  <c r="AR8" i="17"/>
  <c r="AS8" i="17" s="1"/>
  <c r="AF26" i="17"/>
  <c r="AG26" i="17" s="1"/>
  <c r="T16" i="17"/>
  <c r="U16" i="17" s="1"/>
  <c r="H64" i="17"/>
  <c r="I64" i="17" s="1"/>
  <c r="AR7" i="17"/>
  <c r="AS7" i="17" s="1"/>
  <c r="AF6" i="17"/>
  <c r="AG6" i="17" s="1"/>
  <c r="T29" i="17"/>
  <c r="U29" i="17" s="1"/>
  <c r="AR6" i="17"/>
  <c r="AS6" i="17" s="1"/>
  <c r="AF25" i="17"/>
  <c r="AG25" i="17" s="1"/>
  <c r="T28" i="17"/>
  <c r="U28" i="17" s="1"/>
  <c r="H15" i="17"/>
  <c r="I15" i="17" s="1"/>
  <c r="AR26" i="17"/>
  <c r="AS26" i="17" s="1"/>
  <c r="AF15" i="17"/>
  <c r="AG15" i="17" s="1"/>
  <c r="T27" i="17"/>
  <c r="U27" i="17" s="1"/>
  <c r="H49" i="17"/>
  <c r="I49" i="17" s="1"/>
  <c r="AR25" i="17"/>
  <c r="AS25" i="17" s="1"/>
  <c r="AF14" i="17"/>
  <c r="AG14" i="17" s="1"/>
  <c r="T43" i="17"/>
  <c r="U43" i="17" s="1"/>
  <c r="H44" i="17"/>
  <c r="I44" i="17" s="1"/>
  <c r="AR5" i="17"/>
  <c r="AS5" i="17" s="1"/>
  <c r="AF24" i="17"/>
  <c r="AG24" i="17" s="1"/>
  <c r="T42" i="17"/>
  <c r="U42" i="17" s="1"/>
  <c r="H43" i="17"/>
  <c r="I43" i="17" s="1"/>
  <c r="AR24" i="17"/>
  <c r="AS24" i="17" s="1"/>
  <c r="AF35" i="17"/>
  <c r="AG35" i="17" s="1"/>
  <c r="T10" i="17"/>
  <c r="U10" i="17" s="1"/>
  <c r="H63" i="17"/>
  <c r="I63" i="17" s="1"/>
  <c r="AR23" i="17"/>
  <c r="AS23" i="17" s="1"/>
  <c r="AF13" i="17"/>
  <c r="AG13" i="17" s="1"/>
  <c r="T13" i="17"/>
  <c r="U13" i="17" s="1"/>
  <c r="H14" i="17"/>
  <c r="I14" i="17" s="1"/>
  <c r="AR22" i="17"/>
  <c r="AS22" i="17" s="1"/>
  <c r="AF12" i="17"/>
  <c r="AG12" i="17" s="1"/>
  <c r="T72" i="17"/>
  <c r="U72" i="17" s="1"/>
  <c r="H48" i="17"/>
  <c r="I48" i="17" s="1"/>
  <c r="AR36" i="17"/>
  <c r="AS36" i="17" s="1"/>
  <c r="AF33" i="17"/>
  <c r="AG33" i="17" s="1"/>
  <c r="T26" i="17"/>
  <c r="U26" i="17" s="1"/>
  <c r="M26" i="17"/>
  <c r="H13" i="17"/>
  <c r="I13" i="17" s="1"/>
  <c r="AR21" i="17"/>
  <c r="AS21" i="17" s="1"/>
  <c r="AK6" i="17"/>
  <c r="AK7" i="17" s="1"/>
  <c r="AK8" i="17" s="1"/>
  <c r="AK9" i="17" s="1"/>
  <c r="AK10" i="17" s="1"/>
  <c r="AK11" i="17" s="1"/>
  <c r="AK12" i="17" s="1"/>
  <c r="AF21" i="17"/>
  <c r="AG21" i="17" s="1"/>
  <c r="Y21" i="17"/>
  <c r="Y33" i="17" s="1"/>
  <c r="Y12" i="17" s="1"/>
  <c r="Y13" i="17" s="1"/>
  <c r="Y35" i="17" s="1"/>
  <c r="Y24" i="17" s="1"/>
  <c r="Y14" i="17" s="1"/>
  <c r="Y15" i="17" s="1"/>
  <c r="Y25" i="17" s="1"/>
  <c r="T25" i="17"/>
  <c r="U25" i="17" s="1"/>
  <c r="H47" i="17"/>
  <c r="I47" i="17" s="1"/>
  <c r="A47" i="17"/>
  <c r="AR20" i="17"/>
  <c r="AF32" i="17"/>
  <c r="T24" i="17"/>
  <c r="H46" i="17"/>
  <c r="I46" i="17" s="1"/>
  <c r="F62" i="14"/>
  <c r="AW88" i="14"/>
  <c r="AW84" i="14"/>
  <c r="AW85" i="14"/>
  <c r="AW86" i="14"/>
  <c r="AW87" i="14"/>
  <c r="AW89" i="14"/>
  <c r="AW90" i="14"/>
  <c r="AW91" i="14"/>
  <c r="AW92" i="14"/>
  <c r="AW93" i="14"/>
  <c r="AW94" i="14"/>
  <c r="AW95" i="14"/>
  <c r="AW96" i="14"/>
  <c r="AW97" i="14"/>
  <c r="AW98" i="14"/>
  <c r="S31" i="14"/>
  <c r="S32" i="14"/>
  <c r="BB89" i="17" l="1"/>
  <c r="BD91" i="17" s="1"/>
  <c r="AW85" i="17"/>
  <c r="AW86" i="17" s="1"/>
  <c r="BD87" i="17"/>
  <c r="BE87" i="17"/>
  <c r="AP41" i="17"/>
  <c r="AD39" i="17"/>
  <c r="H89" i="17"/>
  <c r="AF37" i="17"/>
  <c r="F91" i="17"/>
  <c r="R78" i="17"/>
  <c r="AR39" i="17"/>
  <c r="T76" i="17"/>
  <c r="I89" i="17"/>
  <c r="U24" i="17"/>
  <c r="U76" i="17" s="1"/>
  <c r="AG32" i="17"/>
  <c r="AG37" i="17" s="1"/>
  <c r="AS20" i="17"/>
  <c r="AS39" i="17" s="1"/>
  <c r="AU143" i="14" l="1"/>
  <c r="AT143" i="14"/>
  <c r="AT145" i="14" l="1"/>
  <c r="AT149" i="14" l="1"/>
  <c r="L9" i="13"/>
  <c r="L18" i="13"/>
  <c r="L20" i="13" l="1"/>
  <c r="H15" i="12"/>
  <c r="H10" i="12"/>
  <c r="H11" i="12"/>
  <c r="H12" i="12"/>
  <c r="J14" i="12"/>
  <c r="I10" i="12"/>
  <c r="I14" i="12"/>
  <c r="J10" i="12" l="1"/>
  <c r="J12" i="12"/>
  <c r="S30" i="14" l="1"/>
  <c r="S27" i="14"/>
  <c r="S28" i="14"/>
  <c r="S29" i="14"/>
  <c r="I48" i="14"/>
  <c r="I49" i="14"/>
  <c r="I50" i="14"/>
  <c r="I51" i="14"/>
  <c r="J20" i="11"/>
  <c r="K20" i="11"/>
  <c r="J9" i="11"/>
  <c r="J8" i="11"/>
  <c r="J21" i="11" l="1"/>
  <c r="I11" i="11"/>
  <c r="H11" i="10"/>
  <c r="H12" i="10"/>
  <c r="H13" i="10"/>
  <c r="H9" i="9"/>
  <c r="I9" i="9"/>
  <c r="J9" i="9"/>
  <c r="H10" i="9"/>
  <c r="I10" i="9"/>
  <c r="I18" i="9"/>
  <c r="J10" i="9" l="1"/>
  <c r="M18" i="13"/>
  <c r="M9" i="13" l="1"/>
  <c r="M20" i="13" s="1"/>
  <c r="D6" i="13" l="1"/>
  <c r="AW82" i="14" l="1"/>
  <c r="AW83" i="14"/>
  <c r="AV74" i="14"/>
  <c r="AW74" i="14" s="1"/>
  <c r="AV75" i="14"/>
  <c r="AW75" i="14" s="1"/>
  <c r="AV76" i="14"/>
  <c r="AW76" i="14" s="1"/>
  <c r="AV77" i="14"/>
  <c r="AW77" i="14" s="1"/>
  <c r="AV78" i="14"/>
  <c r="AW78" i="14" s="1"/>
  <c r="AV79" i="14"/>
  <c r="AW79" i="14" s="1"/>
  <c r="AW80" i="14"/>
  <c r="AW81" i="14"/>
  <c r="AV69" i="14"/>
  <c r="AW69" i="14" s="1"/>
  <c r="AV70" i="14"/>
  <c r="AW70" i="14" s="1"/>
  <c r="AV71" i="14"/>
  <c r="AW71" i="14" s="1"/>
  <c r="AV72" i="14"/>
  <c r="AW72" i="14" s="1"/>
  <c r="AV73" i="14"/>
  <c r="AW73" i="14" s="1"/>
  <c r="AV62" i="14"/>
  <c r="AW62" i="14" s="1"/>
  <c r="AV63" i="14"/>
  <c r="AW63" i="14" s="1"/>
  <c r="AV64" i="14"/>
  <c r="AW64" i="14" s="1"/>
  <c r="AV65" i="14"/>
  <c r="AW65" i="14" s="1"/>
  <c r="AV66" i="14"/>
  <c r="AW66" i="14" s="1"/>
  <c r="AV67" i="14"/>
  <c r="AW67" i="14" s="1"/>
  <c r="AV68" i="14"/>
  <c r="AW68" i="14" s="1"/>
  <c r="R12" i="14" l="1"/>
  <c r="I8" i="10"/>
  <c r="I8" i="9"/>
  <c r="I22" i="9" s="1"/>
  <c r="AV45" i="14"/>
  <c r="AW45" i="14" s="1"/>
  <c r="H5" i="14"/>
  <c r="AV47" i="14"/>
  <c r="AW47" i="14" s="1"/>
  <c r="AV48" i="14"/>
  <c r="AW48" i="14" s="1"/>
  <c r="AV49" i="14"/>
  <c r="AW49" i="14" s="1"/>
  <c r="AV50" i="14"/>
  <c r="AW50" i="14" s="1"/>
  <c r="AV51" i="14"/>
  <c r="AW51" i="14" s="1"/>
  <c r="AV52" i="14"/>
  <c r="AW52" i="14" s="1"/>
  <c r="AV53" i="14"/>
  <c r="AW53" i="14" s="1"/>
  <c r="AV54" i="14"/>
  <c r="AW54" i="14" s="1"/>
  <c r="AV55" i="14"/>
  <c r="AW55" i="14" s="1"/>
  <c r="AV56" i="14"/>
  <c r="AW56" i="14" s="1"/>
  <c r="AV57" i="14"/>
  <c r="AW57" i="14" s="1"/>
  <c r="AV58" i="14"/>
  <c r="AW58" i="14" s="1"/>
  <c r="AV59" i="14"/>
  <c r="AW59" i="14" s="1"/>
  <c r="AV60" i="14"/>
  <c r="AW60" i="14" s="1"/>
  <c r="AV61" i="14"/>
  <c r="AW61" i="14" s="1"/>
  <c r="AV39" i="14"/>
  <c r="AW39" i="14" s="1"/>
  <c r="AV40" i="14"/>
  <c r="AW40" i="14" s="1"/>
  <c r="AV41" i="14"/>
  <c r="AW41" i="14" s="1"/>
  <c r="AV42" i="14"/>
  <c r="AW42" i="14" s="1"/>
  <c r="AV43" i="14"/>
  <c r="AW43" i="14" s="1"/>
  <c r="AV44" i="14"/>
  <c r="AW44" i="14" s="1"/>
  <c r="AV46" i="14"/>
  <c r="AW46" i="14" s="1"/>
  <c r="I5" i="14" l="1"/>
  <c r="AV26" i="14"/>
  <c r="AW26" i="14" s="1"/>
  <c r="AV27" i="14"/>
  <c r="AW27" i="14" s="1"/>
  <c r="AV28" i="14"/>
  <c r="AW28" i="14" s="1"/>
  <c r="AV29" i="14"/>
  <c r="AW29" i="14" s="1"/>
  <c r="AV30" i="14"/>
  <c r="AW30" i="14" s="1"/>
  <c r="AV31" i="14"/>
  <c r="AW31" i="14" s="1"/>
  <c r="AV32" i="14"/>
  <c r="AW32" i="14" s="1"/>
  <c r="AV33" i="14"/>
  <c r="AW33" i="14" s="1"/>
  <c r="AV34" i="14"/>
  <c r="AW34" i="14" s="1"/>
  <c r="AV35" i="14"/>
  <c r="AW35" i="14" s="1"/>
  <c r="AV36" i="14"/>
  <c r="AW36" i="14" s="1"/>
  <c r="AV10" i="14"/>
  <c r="AW10" i="14" s="1"/>
  <c r="AV9" i="14"/>
  <c r="AW9" i="14" s="1"/>
  <c r="AV11" i="14"/>
  <c r="AW11" i="14" s="1"/>
  <c r="AV12" i="14"/>
  <c r="AW12" i="14" s="1"/>
  <c r="AV13" i="14"/>
  <c r="AW13" i="14" s="1"/>
  <c r="H10" i="14"/>
  <c r="I10" i="14" s="1"/>
  <c r="H11" i="14"/>
  <c r="I11" i="14" s="1"/>
  <c r="L33" i="1" l="1"/>
  <c r="I4" i="13" l="1"/>
  <c r="H12" i="2"/>
  <c r="H10" i="2"/>
  <c r="H11" i="2"/>
  <c r="H9" i="2"/>
  <c r="K9" i="13" l="1"/>
  <c r="E39" i="12"/>
  <c r="F16" i="13" s="1"/>
  <c r="D39" i="12"/>
  <c r="E16" i="13" s="1"/>
  <c r="G33" i="12"/>
  <c r="G32" i="12"/>
  <c r="G31" i="12"/>
  <c r="F26" i="12"/>
  <c r="B16" i="13" s="1"/>
  <c r="E26" i="12"/>
  <c r="C16" i="13" s="1"/>
  <c r="D26" i="12"/>
  <c r="G8" i="12"/>
  <c r="F34" i="11"/>
  <c r="E34" i="11"/>
  <c r="H28" i="11"/>
  <c r="H27" i="11"/>
  <c r="H26" i="11"/>
  <c r="B15" i="13"/>
  <c r="C15" i="13"/>
  <c r="E21" i="11"/>
  <c r="K10" i="11"/>
  <c r="E37" i="10"/>
  <c r="D37" i="10"/>
  <c r="G29" i="10"/>
  <c r="G28" i="10"/>
  <c r="G27" i="10"/>
  <c r="F22" i="10"/>
  <c r="E22" i="10"/>
  <c r="D22" i="10"/>
  <c r="H9" i="10"/>
  <c r="E34" i="9"/>
  <c r="D34" i="9"/>
  <c r="G28" i="9"/>
  <c r="G27" i="9"/>
  <c r="H8" i="9"/>
  <c r="H22" i="9" s="1"/>
  <c r="E35" i="8"/>
  <c r="F12" i="13" s="1"/>
  <c r="D35" i="8"/>
  <c r="E12" i="13" s="1"/>
  <c r="F23" i="8"/>
  <c r="E23" i="8"/>
  <c r="F40" i="8" s="1"/>
  <c r="D23" i="8"/>
  <c r="H7" i="13"/>
  <c r="D7" i="13"/>
  <c r="K13" i="13" l="1"/>
  <c r="I13" i="13"/>
  <c r="I14" i="13"/>
  <c r="K14" i="13"/>
  <c r="I23" i="8"/>
  <c r="I12" i="13" s="1"/>
  <c r="I8" i="11"/>
  <c r="K8" i="11"/>
  <c r="H9" i="12"/>
  <c r="J26" i="12"/>
  <c r="H56" i="12" s="1"/>
  <c r="I9" i="11"/>
  <c r="K9" i="11"/>
  <c r="H6" i="13"/>
  <c r="F35" i="8"/>
  <c r="I26" i="12"/>
  <c r="G34" i="9"/>
  <c r="G26" i="12"/>
  <c r="G28" i="8"/>
  <c r="G35" i="8" s="1"/>
  <c r="H8" i="12"/>
  <c r="G37" i="10"/>
  <c r="H34" i="11"/>
  <c r="D11" i="13"/>
  <c r="D18" i="13" s="1"/>
  <c r="F41" i="8"/>
  <c r="D12" i="13"/>
  <c r="F47" i="8"/>
  <c r="H47" i="8" s="1"/>
  <c r="H12" i="13"/>
  <c r="F40" i="9"/>
  <c r="D13" i="13"/>
  <c r="H10" i="10"/>
  <c r="F43" i="10"/>
  <c r="D14" i="13"/>
  <c r="F49" i="10"/>
  <c r="F14" i="13"/>
  <c r="H14" i="13" s="1"/>
  <c r="G40" i="11"/>
  <c r="D15" i="13"/>
  <c r="G44" i="11"/>
  <c r="I44" i="11" s="1"/>
  <c r="F15" i="13"/>
  <c r="H15" i="13" s="1"/>
  <c r="F39" i="12"/>
  <c r="F48" i="12"/>
  <c r="H48" i="12" s="1"/>
  <c r="G23" i="8"/>
  <c r="F46" i="8"/>
  <c r="F39" i="9"/>
  <c r="C13" i="13"/>
  <c r="F45" i="9"/>
  <c r="E13" i="13"/>
  <c r="F42" i="10"/>
  <c r="C14" i="13"/>
  <c r="G39" i="11"/>
  <c r="F45" i="12"/>
  <c r="D16" i="13"/>
  <c r="G39" i="12"/>
  <c r="F49" i="12"/>
  <c r="H49" i="12" s="1"/>
  <c r="G38" i="11"/>
  <c r="I38" i="11" s="1"/>
  <c r="F44" i="12"/>
  <c r="F46" i="9"/>
  <c r="H46" i="9" s="1"/>
  <c r="F13" i="13"/>
  <c r="H13" i="13" s="1"/>
  <c r="D8" i="13"/>
  <c r="H8" i="13"/>
  <c r="C12" i="13"/>
  <c r="J8" i="9"/>
  <c r="J22" i="9" s="1"/>
  <c r="F34" i="9"/>
  <c r="G22" i="10"/>
  <c r="J8" i="10"/>
  <c r="F37" i="10"/>
  <c r="F48" i="10"/>
  <c r="E14" i="13"/>
  <c r="G34" i="11"/>
  <c r="G43" i="11"/>
  <c r="E15" i="13"/>
  <c r="F43" i="12"/>
  <c r="H43" i="12" s="1"/>
  <c r="F41" i="10"/>
  <c r="H41" i="10" s="1"/>
  <c r="B14" i="13"/>
  <c r="F38" i="9"/>
  <c r="B13" i="13"/>
  <c r="H8" i="8"/>
  <c r="F39" i="8"/>
  <c r="H39" i="8" s="1"/>
  <c r="B12" i="13"/>
  <c r="H11" i="13"/>
  <c r="N7" i="13"/>
  <c r="O7" i="13"/>
  <c r="N6" i="13"/>
  <c r="H14" i="12"/>
  <c r="I10" i="11"/>
  <c r="H5" i="13"/>
  <c r="J8" i="2"/>
  <c r="J29" i="2" s="1"/>
  <c r="I3" i="13"/>
  <c r="D3" i="13"/>
  <c r="I9" i="13" l="1"/>
  <c r="I16" i="13"/>
  <c r="K21" i="11"/>
  <c r="I52" i="11" s="1"/>
  <c r="I21" i="11"/>
  <c r="I15" i="13"/>
  <c r="E18" i="13"/>
  <c r="B18" i="13"/>
  <c r="C18" i="13"/>
  <c r="N3" i="13"/>
  <c r="H16" i="13"/>
  <c r="H18" i="13" s="1"/>
  <c r="F18" i="13"/>
  <c r="G45" i="11"/>
  <c r="F42" i="8"/>
  <c r="F44" i="8" s="1"/>
  <c r="N12" i="13"/>
  <c r="N8" i="13"/>
  <c r="H46" i="12"/>
  <c r="N11" i="13"/>
  <c r="N16" i="13"/>
  <c r="K18" i="13"/>
  <c r="I41" i="11"/>
  <c r="N15" i="13"/>
  <c r="F44" i="10"/>
  <c r="F46" i="10" s="1"/>
  <c r="H44" i="10"/>
  <c r="N14" i="13"/>
  <c r="N13" i="13"/>
  <c r="H41" i="9"/>
  <c r="H42" i="8"/>
  <c r="H50" i="10"/>
  <c r="J23" i="8"/>
  <c r="H54" i="8" s="1"/>
  <c r="G41" i="11"/>
  <c r="I47" i="11" s="1"/>
  <c r="F48" i="8"/>
  <c r="F47" i="9"/>
  <c r="I45" i="11"/>
  <c r="O15" i="13"/>
  <c r="F41" i="9"/>
  <c r="F43" i="9" s="1"/>
  <c r="H48" i="8"/>
  <c r="H50" i="12"/>
  <c r="F50" i="10"/>
  <c r="O11" i="13"/>
  <c r="H23" i="8"/>
  <c r="H22" i="10"/>
  <c r="F46" i="12"/>
  <c r="H52" i="12" s="1"/>
  <c r="H53" i="12" s="1"/>
  <c r="O14" i="13"/>
  <c r="F50" i="12"/>
  <c r="G34" i="2"/>
  <c r="G40" i="2" s="1"/>
  <c r="H47" i="9"/>
  <c r="H48" i="9" s="1"/>
  <c r="H51" i="9" s="1"/>
  <c r="H55" i="9" s="1"/>
  <c r="O6" i="13"/>
  <c r="O8" i="13"/>
  <c r="H55" i="10"/>
  <c r="O16" i="13"/>
  <c r="J6" i="13"/>
  <c r="E4" i="13"/>
  <c r="F51" i="2"/>
  <c r="O13" i="13"/>
  <c r="O12" i="13"/>
  <c r="H26" i="12"/>
  <c r="D4" i="13"/>
  <c r="F46" i="2"/>
  <c r="H8" i="2"/>
  <c r="H29" i="2" s="1"/>
  <c r="M33" i="1"/>
  <c r="D5" i="13"/>
  <c r="O5" i="13"/>
  <c r="N5" i="13"/>
  <c r="H58" i="2"/>
  <c r="F44" i="2"/>
  <c r="H44" i="2" s="1"/>
  <c r="B4" i="13"/>
  <c r="B9" i="13" s="1"/>
  <c r="C4" i="13"/>
  <c r="C9" i="13" s="1"/>
  <c r="F45" i="2"/>
  <c r="F52" i="2"/>
  <c r="H52" i="2" s="1"/>
  <c r="F4" i="13"/>
  <c r="H54" i="12" l="1"/>
  <c r="C20" i="13"/>
  <c r="R3" i="13" s="1"/>
  <c r="B20" i="13"/>
  <c r="R2" i="13" s="1"/>
  <c r="I18" i="13"/>
  <c r="I20" i="13" s="1"/>
  <c r="T31" i="13" s="1"/>
  <c r="I48" i="11"/>
  <c r="I50" i="11" s="1"/>
  <c r="I54" i="11" s="1"/>
  <c r="H49" i="8"/>
  <c r="H52" i="8" s="1"/>
  <c r="H58" i="12"/>
  <c r="H57" i="10"/>
  <c r="D9" i="13"/>
  <c r="D20" i="13" s="1"/>
  <c r="H64" i="19"/>
  <c r="H59" i="20" s="1"/>
  <c r="J11" i="13"/>
  <c r="J8" i="13"/>
  <c r="H47" i="2"/>
  <c r="H53" i="2"/>
  <c r="N4" i="13"/>
  <c r="J4" i="13"/>
  <c r="J7" i="13"/>
  <c r="F47" i="2"/>
  <c r="F49" i="2" s="1"/>
  <c r="F53" i="2"/>
  <c r="O4" i="13"/>
  <c r="J5" i="13"/>
  <c r="H4" i="13"/>
  <c r="R4" i="13" l="1"/>
  <c r="H54" i="2"/>
  <c r="H56" i="2" s="1"/>
  <c r="H60" i="2" s="1"/>
  <c r="H63" i="20"/>
  <c r="H61" i="21" s="1"/>
  <c r="H65" i="21" s="1"/>
  <c r="H60" i="22" s="1"/>
  <c r="H57" i="9"/>
  <c r="H56" i="8"/>
  <c r="H59" i="10"/>
  <c r="H63" i="10" s="1"/>
  <c r="I56" i="11" s="1"/>
  <c r="I60" i="11" s="1"/>
  <c r="H60" i="12" s="1"/>
  <c r="H64" i="12" s="1"/>
  <c r="AA8" i="14" l="1"/>
  <c r="Z8" i="14"/>
  <c r="Z10" i="14" l="1"/>
  <c r="K20" i="13"/>
  <c r="Z13" i="14" l="1"/>
  <c r="AL41" i="14"/>
  <c r="S26" i="14"/>
  <c r="S23" i="14"/>
  <c r="S24" i="14"/>
  <c r="R6" i="14"/>
  <c r="S6" i="14" s="1"/>
  <c r="S25" i="14"/>
  <c r="I46" i="14"/>
  <c r="I47" i="14"/>
  <c r="S21" i="14"/>
  <c r="S22" i="14"/>
  <c r="I39" i="14"/>
  <c r="I38" i="14"/>
  <c r="I40" i="14"/>
  <c r="H9" i="14"/>
  <c r="I9" i="14" s="1"/>
  <c r="AM41" i="14" l="1"/>
  <c r="G62" i="14" l="1"/>
  <c r="F64" i="14" s="1"/>
  <c r="E3" i="13"/>
  <c r="E9" i="13" s="1"/>
  <c r="E20" i="13" s="1"/>
  <c r="F66" i="14" l="1"/>
  <c r="AV14" i="14" l="1"/>
  <c r="AW14" i="14" s="1"/>
  <c r="AV15" i="14"/>
  <c r="AW15" i="14" s="1"/>
  <c r="H30" i="14"/>
  <c r="I30" i="14" s="1"/>
  <c r="I43" i="14" l="1"/>
  <c r="I44" i="14"/>
  <c r="I45" i="14"/>
  <c r="I41" i="14"/>
  <c r="I61" i="1" l="1"/>
  <c r="F3" i="13"/>
  <c r="R11" i="14"/>
  <c r="S11" i="14" s="1"/>
  <c r="R14" i="14"/>
  <c r="S14" i="14" s="1"/>
  <c r="R15" i="14"/>
  <c r="S15" i="14" s="1"/>
  <c r="R13" i="14"/>
  <c r="S13" i="14" s="1"/>
  <c r="S12" i="14"/>
  <c r="R16" i="14"/>
  <c r="S16" i="14" s="1"/>
  <c r="R17" i="14"/>
  <c r="I62" i="1" l="1"/>
  <c r="O3" i="13"/>
  <c r="F9" i="13"/>
  <c r="F20" i="13" s="1"/>
  <c r="R8" i="13" s="1"/>
  <c r="H3" i="13"/>
  <c r="H9" i="13" s="1"/>
  <c r="H20" i="13" s="1"/>
  <c r="S17" i="14"/>
  <c r="AV7" i="14" l="1"/>
  <c r="AW7" i="14" s="1"/>
  <c r="AV37" i="14"/>
  <c r="AW37" i="14" s="1"/>
  <c r="AV19" i="14"/>
  <c r="AW19" i="14" s="1"/>
  <c r="AV16" i="14"/>
  <c r="AW16" i="14" s="1"/>
  <c r="R6" i="13" l="1"/>
  <c r="H28" i="14"/>
  <c r="I28" i="14" s="1"/>
  <c r="R8" i="14"/>
  <c r="AV8" i="14"/>
  <c r="AW8" i="14" s="1"/>
  <c r="H24" i="14"/>
  <c r="I24" i="14" s="1"/>
  <c r="H25" i="14"/>
  <c r="I25" i="14" s="1"/>
  <c r="H27" i="14"/>
  <c r="I27" i="14" s="1"/>
  <c r="H26" i="14"/>
  <c r="I26" i="14" s="1"/>
  <c r="AV6" i="14"/>
  <c r="AW6" i="14" s="1"/>
  <c r="H29" i="14"/>
  <c r="I29" i="14" s="1"/>
  <c r="H6" i="14"/>
  <c r="H7" i="14"/>
  <c r="I7" i="14" s="1"/>
  <c r="H8" i="14"/>
  <c r="I8" i="14" s="1"/>
  <c r="I42" i="14"/>
  <c r="H31" i="14"/>
  <c r="I31" i="14" s="1"/>
  <c r="R14" i="13" l="1"/>
  <c r="R26" i="13" s="1"/>
  <c r="I6" i="14"/>
  <c r="H62" i="14"/>
  <c r="S8" i="14"/>
  <c r="R20" i="14"/>
  <c r="S20" i="14" s="1"/>
  <c r="AV38" i="14"/>
  <c r="AW38" i="14" s="1"/>
  <c r="R19" i="14"/>
  <c r="S19" i="14" s="1"/>
  <c r="AV20" i="14"/>
  <c r="AW20" i="14" s="1"/>
  <c r="AV21" i="14"/>
  <c r="AW21" i="14" s="1"/>
  <c r="AV22" i="14"/>
  <c r="AW22" i="14" s="1"/>
  <c r="AV23" i="14"/>
  <c r="AW23" i="14" s="1"/>
  <c r="R18" i="14"/>
  <c r="S18" i="14" s="1"/>
  <c r="AV24" i="14"/>
  <c r="AW24" i="14" s="1"/>
  <c r="AV25" i="14"/>
  <c r="AW25" i="14" s="1"/>
  <c r="AV17" i="14"/>
  <c r="AW17" i="14" s="1"/>
  <c r="R10" i="14"/>
  <c r="S10" i="14" s="1"/>
  <c r="R9" i="14"/>
  <c r="S9" i="14" s="1"/>
  <c r="AV18" i="14"/>
  <c r="AW18" i="14" s="1"/>
  <c r="AB7" i="14"/>
  <c r="AC7" i="14" s="1"/>
  <c r="AB6" i="14"/>
  <c r="AC6" i="14" s="1"/>
  <c r="R5" i="14"/>
  <c r="AB5" i="14"/>
  <c r="R7" i="14"/>
  <c r="S7" i="14" s="1"/>
  <c r="AV5" i="14"/>
  <c r="AW5" i="14" s="1"/>
  <c r="S29" i="13" l="1"/>
  <c r="T28" i="13"/>
  <c r="R28" i="13"/>
  <c r="R29" i="13" s="1"/>
  <c r="S5" i="14"/>
  <c r="S33" i="14" s="1"/>
  <c r="R33" i="14"/>
  <c r="AV143" i="14"/>
  <c r="AC5" i="14"/>
  <c r="AB8" i="14"/>
  <c r="AW143" i="14"/>
  <c r="I62" i="14"/>
  <c r="T29" i="13" l="1"/>
  <c r="T30" i="13" s="1"/>
  <c r="T33" i="13" s="1"/>
  <c r="AC8" i="14"/>
  <c r="J45" i="1" l="1"/>
  <c r="J18" i="13"/>
  <c r="I55" i="1"/>
  <c r="I64" i="1" s="1"/>
  <c r="I74" i="1" s="1"/>
  <c r="H62" i="2" l="1"/>
  <c r="H66" i="2" s="1"/>
  <c r="H59" i="18" s="1"/>
  <c r="H63" i="18" s="1"/>
  <c r="J3" i="13"/>
  <c r="J9" i="13" s="1"/>
  <c r="I66" i="1"/>
  <c r="I68" i="1" l="1"/>
  <c r="I75" i="1"/>
  <c r="J20" i="13"/>
  <c r="H63" i="2" l="1"/>
  <c r="H67" i="2" s="1"/>
  <c r="H60" i="18" s="1"/>
  <c r="H64" i="18" s="1"/>
  <c r="H61" i="19" l="1"/>
  <c r="H65" i="19" l="1"/>
  <c r="H64" i="20" l="1"/>
  <c r="H62" i="21" l="1"/>
  <c r="H66" i="21" s="1"/>
  <c r="H61" i="22" s="1"/>
  <c r="H65" i="22" s="1"/>
  <c r="A5" i="17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85" i="17"/>
  <c r="A86" i="17" s="1"/>
  <c r="A87" i="17" s="1"/>
  <c r="A20" i="17"/>
  <c r="A21" i="17" s="1"/>
  <c r="A22" i="17" s="1"/>
  <c r="A23" i="17" s="1"/>
  <c r="A24" i="17" s="1"/>
  <c r="A25" i="17" s="1"/>
  <c r="A26" i="17" s="1"/>
  <c r="A48" i="17"/>
  <c r="A49" i="17" s="1"/>
  <c r="A57" i="17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43" i="17"/>
  <c r="A44" i="17" s="1"/>
  <c r="A52" i="17"/>
  <c r="A53" i="17" s="1"/>
  <c r="A54" i="17" s="1"/>
  <c r="A55" i="17" s="1"/>
  <c r="A83" i="17"/>
  <c r="H59" i="8" l="1"/>
  <c r="H63" i="8" s="1"/>
  <c r="H58" i="9" s="1"/>
  <c r="H62" i="9" s="1"/>
  <c r="A27" i="17"/>
  <c r="A28" i="17" s="1"/>
  <c r="A29" i="17" s="1"/>
  <c r="A30" i="17" s="1"/>
  <c r="A31" i="17" s="1"/>
  <c r="A32" i="17" s="1"/>
  <c r="A33" i="17" s="1"/>
  <c r="A34" i="17" s="1"/>
  <c r="A35" i="17"/>
  <c r="M27" i="17"/>
  <c r="M28" i="17" s="1"/>
  <c r="M29" i="17" s="1"/>
  <c r="M30" i="17" s="1"/>
  <c r="M31" i="17" s="1"/>
  <c r="M32" i="17" s="1"/>
  <c r="M33" i="17" s="1"/>
  <c r="M34" i="17" s="1"/>
  <c r="M35" i="17" s="1"/>
  <c r="M36" i="17" s="1"/>
  <c r="M37" i="17" s="1"/>
  <c r="M38" i="17" s="1"/>
  <c r="M39" i="17" s="1"/>
  <c r="M40" i="17" s="1"/>
  <c r="M41" i="17" s="1"/>
  <c r="M42" i="17" s="1"/>
  <c r="M43" i="17" s="1"/>
  <c r="M44" i="17" s="1"/>
  <c r="M45" i="17" s="1"/>
  <c r="M46" i="17" s="1"/>
  <c r="M47" i="17" s="1"/>
  <c r="M48" i="17" s="1"/>
  <c r="M49" i="17" s="1"/>
  <c r="M50" i="17" s="1"/>
  <c r="M51" i="17" s="1"/>
  <c r="M52" i="17" s="1"/>
  <c r="M53" i="17" s="1"/>
  <c r="M54" i="17" s="1"/>
  <c r="M55" i="17" s="1"/>
  <c r="M56" i="17" s="1"/>
  <c r="M57" i="17" s="1"/>
  <c r="M58" i="17" s="1"/>
  <c r="M59" i="17" s="1"/>
  <c r="M60" i="17" s="1"/>
  <c r="M61" i="17" s="1"/>
  <c r="M62" i="17" s="1"/>
  <c r="M63" i="17" s="1"/>
  <c r="M64" i="17" s="1"/>
  <c r="M65" i="17" s="1"/>
  <c r="M66" i="17" s="1"/>
  <c r="M67" i="17" s="1"/>
  <c r="M68" i="17" s="1"/>
  <c r="M69" i="17" s="1"/>
  <c r="M70" i="17" s="1"/>
  <c r="M71" i="17" s="1"/>
  <c r="M72" i="17" s="1"/>
  <c r="M73" i="17" s="1"/>
  <c r="M74" i="17" s="1"/>
  <c r="M75" i="17" s="1"/>
  <c r="M5" i="17"/>
  <c r="M6" i="17" s="1"/>
  <c r="M7" i="17" s="1"/>
  <c r="M8" i="17" s="1"/>
  <c r="M9" i="17" s="1"/>
  <c r="M10" i="17" s="1"/>
  <c r="M11" i="17" s="1"/>
  <c r="M12" i="17" s="1"/>
  <c r="M13" i="17" s="1"/>
  <c r="M14" i="17" s="1"/>
  <c r="M15" i="17" s="1"/>
  <c r="M16" i="17" s="1"/>
  <c r="M17" i="17" s="1"/>
  <c r="M18" i="17" s="1"/>
  <c r="M19" i="17" s="1"/>
  <c r="M20" i="17" s="1"/>
  <c r="M21" i="17" s="1"/>
  <c r="M22" i="17" s="1"/>
  <c r="M23" i="17" s="1"/>
  <c r="H60" i="10" l="1"/>
  <c r="I62" i="9"/>
  <c r="H64" i="10" l="1"/>
  <c r="I57" i="11" s="1"/>
  <c r="I61" i="11" s="1"/>
  <c r="H61" i="12" s="1"/>
  <c r="H65" i="12" s="1"/>
</calcChain>
</file>

<file path=xl/comments1.xml><?xml version="1.0" encoding="utf-8"?>
<comments xmlns="http://schemas.openxmlformats.org/spreadsheetml/2006/main">
  <authors>
    <author>Corina</author>
  </authors>
  <commentList>
    <comment ref="R26" authorId="0" shapeId="0">
      <text>
        <r>
          <rPr>
            <b/>
            <sz val="8"/>
            <color indexed="81"/>
            <rFont val="Tahoma"/>
            <family val="2"/>
          </rPr>
          <t>Corina:</t>
        </r>
        <r>
          <rPr>
            <sz val="8"/>
            <color indexed="81"/>
            <rFont val="Tahoma"/>
            <family val="2"/>
          </rPr>
          <t xml:space="preserve">
ES EL RESULTADO DEL TOTAL DE INGRESOS - EL TOTAL DE GASTOS
</t>
        </r>
      </text>
    </comment>
  </commentList>
</comments>
</file>

<file path=xl/sharedStrings.xml><?xml version="1.0" encoding="utf-8"?>
<sst xmlns="http://schemas.openxmlformats.org/spreadsheetml/2006/main" count="1432" uniqueCount="468">
  <si>
    <t>VENTAS</t>
  </si>
  <si>
    <t xml:space="preserve"> </t>
  </si>
  <si>
    <t>N. Facturas</t>
  </si>
  <si>
    <t>Cliente</t>
  </si>
  <si>
    <t>IVA</t>
  </si>
  <si>
    <t>total</t>
  </si>
  <si>
    <t>COMPRAS</t>
  </si>
  <si>
    <t>SIN IVA</t>
  </si>
  <si>
    <t>CON IVA</t>
  </si>
  <si>
    <t>TOTAL</t>
  </si>
  <si>
    <t>COMPRAS SIN IVA ACT</t>
  </si>
  <si>
    <t>COMPRAS CON IVA ACT</t>
  </si>
  <si>
    <t>A PAGAR</t>
  </si>
  <si>
    <t>RETENCIONES</t>
  </si>
  <si>
    <t>MAYO</t>
  </si>
  <si>
    <t>JUNIO</t>
  </si>
  <si>
    <t>JULIO</t>
  </si>
  <si>
    <t>SEPTIEMBRE</t>
  </si>
  <si>
    <t>OCTUBRE</t>
  </si>
  <si>
    <t>AGOSTO</t>
  </si>
  <si>
    <t>NOVIEMBRE</t>
  </si>
  <si>
    <t>DICIEMBRE</t>
  </si>
  <si>
    <t>RESUMEN</t>
  </si>
  <si>
    <t>ENERO</t>
  </si>
  <si>
    <t>FEBRERO</t>
  </si>
  <si>
    <t>MARZO</t>
  </si>
  <si>
    <t>ABRIL</t>
  </si>
  <si>
    <t>GASTOS PERSONALES</t>
  </si>
  <si>
    <t>MEDICINA</t>
  </si>
  <si>
    <t>VESTIDO</t>
  </si>
  <si>
    <t>EDUCACION</t>
  </si>
  <si>
    <t>VIVIENDA</t>
  </si>
  <si>
    <t>ALIMENTACION</t>
  </si>
  <si>
    <t>DETALLE DE FACTURAS PERSONALES</t>
  </si>
  <si>
    <t>FECHA</t>
  </si>
  <si>
    <t>PROVEEDOR</t>
  </si>
  <si>
    <t>BASE 0%</t>
  </si>
  <si>
    <t>BASE 12%</t>
  </si>
  <si>
    <t>RET. FUENTE</t>
  </si>
  <si>
    <t>RET. IVA</t>
  </si>
  <si>
    <t>VESTIMENTA</t>
  </si>
  <si>
    <t>COMPRA 0%</t>
  </si>
  <si>
    <t xml:space="preserve">VENTAS 0% </t>
  </si>
  <si>
    <t>VTAS 12%</t>
  </si>
  <si>
    <t>VTAS 0%</t>
  </si>
  <si>
    <t>COMP. 12%</t>
  </si>
  <si>
    <t>TOTALES</t>
  </si>
  <si>
    <t>RUC</t>
  </si>
  <si>
    <t>No. FACTURA</t>
  </si>
  <si>
    <t>VALOR CON IVA</t>
  </si>
  <si>
    <t>Retenc. De Fuente</t>
  </si>
  <si>
    <t>Retenc. De IVA</t>
  </si>
  <si>
    <t>VALOR SIN IVA</t>
  </si>
  <si>
    <t>MESES</t>
  </si>
  <si>
    <t>REEMBOLSOS</t>
  </si>
  <si>
    <t>VENTAS SRI</t>
  </si>
  <si>
    <t>EXCESO HASTA</t>
  </si>
  <si>
    <t>IMPUESTO FRACCION BÁSICA</t>
  </si>
  <si>
    <t>OTROS APUNTES</t>
  </si>
  <si>
    <t>VALOR MAXIMI A DEDUCIR DE GASTO PERSONAL</t>
  </si>
  <si>
    <t>1,3 VECES LA FACCION</t>
  </si>
  <si>
    <t>VALOR MAXIMO A DEDUCIR POR CADA TIPO DE GASTO</t>
  </si>
  <si>
    <t>0,325 VECES LA FACCION</t>
  </si>
  <si>
    <t>BENEFICIO TERCERA EDAD</t>
  </si>
  <si>
    <t>2 VECES LA FRACCION</t>
  </si>
  <si>
    <t>BENEFICIO MINUSVALIDO</t>
  </si>
  <si>
    <t>MAXIMO DE GASTOS PERSONALES</t>
  </si>
  <si>
    <t>EDUCACIÓN</t>
  </si>
  <si>
    <t>ALIMENTACIÓN</t>
  </si>
  <si>
    <t>SALUD</t>
  </si>
  <si>
    <t>IMPUESTO CAUSADO</t>
  </si>
  <si>
    <t>NOMBRE DEL CLIENTE</t>
  </si>
  <si>
    <t>TOTAL DE COMPRAS</t>
  </si>
  <si>
    <t>TOTAL DE VENTAS</t>
  </si>
  <si>
    <r>
      <rPr>
        <sz val="10"/>
        <rFont val="Arial"/>
        <family val="2"/>
      </rPr>
      <t>CREDITO TRIBUTARIO</t>
    </r>
    <r>
      <rPr>
        <b/>
        <sz val="10"/>
        <rFont val="Arial"/>
        <family val="2"/>
      </rPr>
      <t xml:space="preserve"> ANTERIOR</t>
    </r>
  </si>
  <si>
    <t>VIENE DEL 615</t>
  </si>
  <si>
    <t>VIENE DEL 617</t>
  </si>
  <si>
    <t>CREDITO TRIBUT. DEL MES</t>
  </si>
  <si>
    <t>VENTAS 12%</t>
  </si>
  <si>
    <t>IVA EN COMPRAS</t>
  </si>
  <si>
    <t>VERIS</t>
  </si>
  <si>
    <t>CAMARI</t>
  </si>
  <si>
    <t>DUPAN</t>
  </si>
  <si>
    <t xml:space="preserve">EL ROSADO </t>
  </si>
  <si>
    <t xml:space="preserve">DIEGO SOLIS </t>
  </si>
  <si>
    <t>#</t>
  </si>
  <si>
    <t>CRONOLOGIA</t>
  </si>
  <si>
    <t xml:space="preserve">FRANCELANA </t>
  </si>
  <si>
    <t xml:space="preserve">EDITORIAL DON BOSCO </t>
  </si>
  <si>
    <t xml:space="preserve">COMISARIATO DEL LIBRO </t>
  </si>
  <si>
    <t>EDUSOL</t>
  </si>
  <si>
    <t xml:space="preserve">DIFERENCIAS </t>
  </si>
  <si>
    <t xml:space="preserve">EL MUNDO DE LAS CARNES </t>
  </si>
  <si>
    <t>TOTAL INGRESOS GIRO DEL NEGOCIO</t>
  </si>
  <si>
    <t>APORTE PATRONAL</t>
  </si>
  <si>
    <t>DEPRECIACION</t>
  </si>
  <si>
    <t>IVAS ASUMIDOS</t>
  </si>
  <si>
    <t>BASE DEL GIRO NEGOCIO</t>
  </si>
  <si>
    <t>ING RELACION DEPENDE</t>
  </si>
  <si>
    <t>FORMULARIO 107</t>
  </si>
  <si>
    <t>IESS</t>
  </si>
  <si>
    <t>BASE RELACION DEPENDENCIA</t>
  </si>
  <si>
    <t>ANEXOS DE GASTOS</t>
  </si>
  <si>
    <t>BASE TOTAL</t>
  </si>
  <si>
    <t>(-)Retenciones efectuadas</t>
  </si>
  <si>
    <t>COMPRAS SRI</t>
  </si>
  <si>
    <t>SERVICIOS ZELBIK CIA. LTDA</t>
  </si>
  <si>
    <t>CORPORACION FAVORITA C.A</t>
  </si>
  <si>
    <t>MEGA SANTAMARIA S.A</t>
  </si>
  <si>
    <t>FARCOMED</t>
  </si>
  <si>
    <t>CENTENO</t>
  </si>
  <si>
    <t>HANSEL &amp; GRETEL</t>
  </si>
  <si>
    <t>EL HORNEADOR DE CAJAS</t>
  </si>
  <si>
    <t>PANIFICADORA AMBATO</t>
  </si>
  <si>
    <t>ELACEP S.A LA SUIZA</t>
  </si>
  <si>
    <t>LAS DELICIAS DE COLOMBIA</t>
  </si>
  <si>
    <t>INT FOOD SERVICES CORP</t>
  </si>
  <si>
    <t>EMPRESA ELECTRICA QUITO S.A</t>
  </si>
  <si>
    <t>TEVECABLE S.A</t>
  </si>
  <si>
    <t>PISCINAS &amp; SPA CLORO EXPRESS</t>
  </si>
  <si>
    <t>EMPRESA PUBLICA METRO. DE AGUA POTABLE</t>
  </si>
  <si>
    <t>FURGO POMASQUI</t>
  </si>
  <si>
    <t>ESKELETRA EDICIONES</t>
  </si>
  <si>
    <t>UNIDAD EDUCATIVA DE RUMIPAMBA</t>
  </si>
  <si>
    <t>PAPELERIA LOS PAPIROS</t>
  </si>
  <si>
    <t>TRANSBARRERA S.A</t>
  </si>
  <si>
    <t>IMPORTADORA LINA ZOU FEI</t>
  </si>
  <si>
    <t>FABIOS</t>
  </si>
  <si>
    <t>TESUTTI</t>
  </si>
  <si>
    <t>STX</t>
  </si>
  <si>
    <t>ALMACENES LINNY</t>
  </si>
  <si>
    <t>EGO SOLO MODA</t>
  </si>
  <si>
    <t>CUIDAD DE LA MODA</t>
  </si>
  <si>
    <t>TIXITEXTILES CIA. LTDA</t>
  </si>
  <si>
    <t>ECONOFARM S.A</t>
  </si>
  <si>
    <t>FUNDACION VISTA PARA TODOS</t>
  </si>
  <si>
    <t>ORION GROUP S.A</t>
  </si>
  <si>
    <t xml:space="preserve">  FRACCIÓN BÁSICA  </t>
  </si>
  <si>
    <t xml:space="preserve">  % IMPUESTO FRACCIÓN EXCEDENTE  </t>
  </si>
  <si>
    <t xml:space="preserve">  -      </t>
  </si>
  <si>
    <t xml:space="preserve">  en adelante  </t>
  </si>
  <si>
    <t>FYBECA</t>
  </si>
  <si>
    <t xml:space="preserve">VISTA PARA TODOS </t>
  </si>
  <si>
    <t xml:space="preserve">GROPU SA </t>
  </si>
  <si>
    <t>FARMACIAS MEDICYTY</t>
  </si>
  <si>
    <t xml:space="preserve">CIUDAD DE LA MODA </t>
  </si>
  <si>
    <t xml:space="preserve">PROFANNY </t>
  </si>
  <si>
    <t>ETAFASHION</t>
  </si>
  <si>
    <t xml:space="preserve">PAYLESS </t>
  </si>
  <si>
    <t>MEDEL</t>
  </si>
  <si>
    <t>TOTAL GASTOS GIRO DEL NEGOCIO</t>
  </si>
  <si>
    <t xml:space="preserve">ROLES </t>
  </si>
  <si>
    <t>FRACCION  BASICA</t>
  </si>
  <si>
    <t xml:space="preserve">TOTAL A PAGAR  </t>
  </si>
  <si>
    <t xml:space="preserve">FACTOR DE PROPORCIONALIDAD </t>
  </si>
  <si>
    <t xml:space="preserve">IVA COMPRAS  CALCULADO EL FACTOR </t>
  </si>
  <si>
    <t xml:space="preserve">JL MEDICAL </t>
  </si>
  <si>
    <t>HOSPITAL VOZANDES</t>
  </si>
  <si>
    <t>FARMACIAS ECONIMICAS</t>
  </si>
  <si>
    <t>JBTRENDY</t>
  </si>
  <si>
    <t xml:space="preserve">AVANT MEDICOS </t>
  </si>
  <si>
    <t xml:space="preserve">SANA SANA </t>
  </si>
  <si>
    <t>FARMAENLACE</t>
  </si>
  <si>
    <t>PHARMACYS</t>
  </si>
  <si>
    <t>OPTICA LUZ</t>
  </si>
  <si>
    <t>METRORED</t>
  </si>
  <si>
    <t>PONY STORE</t>
  </si>
  <si>
    <t xml:space="preserve">TEXTI </t>
  </si>
  <si>
    <t>BERSKA</t>
  </si>
  <si>
    <t xml:space="preserve">CORPORACION FAVORITA </t>
  </si>
  <si>
    <t>QUIMODA</t>
  </si>
  <si>
    <t xml:space="preserve">TEXTILES ECUADOR </t>
  </si>
  <si>
    <t>ZARA</t>
  </si>
  <si>
    <t>MACROMODA</t>
  </si>
  <si>
    <t xml:space="preserve">FLORES COMEFLOR </t>
  </si>
  <si>
    <t>ALBEN</t>
  </si>
  <si>
    <t xml:space="preserve">CAROLINA </t>
  </si>
  <si>
    <t>CONFECCION KROMS</t>
  </si>
  <si>
    <t>DISTRIBUIDORA JARAMILLO</t>
  </si>
  <si>
    <t xml:space="preserve">SUPER CENTRO </t>
  </si>
  <si>
    <t xml:space="preserve">COMERCIALIZADORA </t>
  </si>
  <si>
    <t>FANTACIAS NEW YORK</t>
  </si>
  <si>
    <t>OPTIMODA</t>
  </si>
  <si>
    <t>ZAPEC S.A</t>
  </si>
  <si>
    <t>FURGON POMASQUI</t>
  </si>
  <si>
    <t>TECNILIBRO</t>
  </si>
  <si>
    <t xml:space="preserve">MEGA PAEPELERIA </t>
  </si>
  <si>
    <t>BOOKS&amp;BITS</t>
  </si>
  <si>
    <t xml:space="preserve">CENTRO INFORMATIVO </t>
  </si>
  <si>
    <t>SUMINISTROS OFICINA</t>
  </si>
  <si>
    <t>SCHOOL ENGLISH</t>
  </si>
  <si>
    <t xml:space="preserve">CENTENO </t>
  </si>
  <si>
    <t xml:space="preserve">LOS TIOS </t>
  </si>
  <si>
    <t>ECONOFARM</t>
  </si>
  <si>
    <t xml:space="preserve">DELGADO SAMANTA </t>
  </si>
  <si>
    <t xml:space="preserve">LA YAPA </t>
  </si>
  <si>
    <t>MOTES EXPRES</t>
  </si>
  <si>
    <t>PANIMAX</t>
  </si>
  <si>
    <t>VENTAS SRI 0%</t>
  </si>
  <si>
    <t xml:space="preserve">DISCAPACIDAD </t>
  </si>
  <si>
    <t xml:space="preserve">SALUD S.A </t>
  </si>
  <si>
    <t xml:space="preserve">VENTAS 0% ARRIENDOS </t>
  </si>
  <si>
    <t>EMPRESA RELACION DE DEPENDENCIA</t>
  </si>
  <si>
    <t>iess</t>
  </si>
  <si>
    <t>banco</t>
  </si>
  <si>
    <t>golden</t>
  </si>
  <si>
    <t>sueldo</t>
  </si>
  <si>
    <t>exonera</t>
  </si>
  <si>
    <t xml:space="preserve">LEON SANCHEZ </t>
  </si>
  <si>
    <t xml:space="preserve">DORMEL </t>
  </si>
  <si>
    <t>ARULLO</t>
  </si>
  <si>
    <t>AMBEY SHOES</t>
  </si>
  <si>
    <t>MANOLO PURO CUERO</t>
  </si>
  <si>
    <t>Grado de Discapacidad</t>
  </si>
  <si>
    <t>Porcentaje para aplicación del beneficio</t>
  </si>
  <si>
    <t>Del 40% al 49%</t>
  </si>
  <si>
    <t>Del 50% al 74%</t>
  </si>
  <si>
    <t>Del 75% al 84%</t>
  </si>
  <si>
    <t>Del 85% al 100%</t>
  </si>
  <si>
    <t>PEREZ MONTERO SARA DE LAS MERCEDES</t>
  </si>
  <si>
    <t>SOLIS PEREZ DIEGO ALEJANDRO</t>
  </si>
  <si>
    <t xml:space="preserve">SOLIS PEREZ SAMANTHA MICAELA </t>
  </si>
  <si>
    <t xml:space="preserve">FACTOR PROPORCIONALIDAD </t>
  </si>
  <si>
    <t xml:space="preserve">CALCULO FACTOR PROPORCIONALIDAD </t>
  </si>
  <si>
    <t xml:space="preserve">BASE GASTOS </t>
  </si>
  <si>
    <t>VENTAS 14%</t>
  </si>
  <si>
    <t>INTERESES</t>
  </si>
  <si>
    <t>PEAK PERFORMANCE</t>
  </si>
  <si>
    <t>CELI DANNY</t>
  </si>
  <si>
    <t>OESA</t>
  </si>
  <si>
    <t>VENTAS 0% ARRIENDOS</t>
  </si>
  <si>
    <t xml:space="preserve">FECHA </t>
  </si>
  <si>
    <t>ACTIVO FIJO</t>
  </si>
  <si>
    <t>AMORTIZACION ARRIENDOS 3% AVALUO</t>
  </si>
  <si>
    <t>ACTIVOS FIJOS</t>
  </si>
  <si>
    <t xml:space="preserve">VEHICULOS </t>
  </si>
  <si>
    <t>VALOR</t>
  </si>
  <si>
    <t>ACTIVOS 2017</t>
  </si>
  <si>
    <t>UTILIDAD</t>
  </si>
  <si>
    <t>ARRIENDOS</t>
  </si>
  <si>
    <t>OFICINA</t>
  </si>
  <si>
    <t>CASA</t>
  </si>
  <si>
    <t>VALOR PREDIO</t>
  </si>
  <si>
    <t>AMORTIZAR</t>
  </si>
  <si>
    <t>DEPARTAMENTO</t>
  </si>
  <si>
    <t>(- )Retenciones en relacion dependencia</t>
  </si>
  <si>
    <t>FECHA DE COMPRA</t>
  </si>
  <si>
    <t xml:space="preserve">MESES A DEPRECIAR </t>
  </si>
  <si>
    <t xml:space="preserve">ANDRADE FABIAN </t>
  </si>
  <si>
    <t xml:space="preserve">OTECEL </t>
  </si>
  <si>
    <t>CLOSTERPHARMA</t>
  </si>
  <si>
    <t>CARFIX</t>
  </si>
  <si>
    <t>ES PEAJE NORTE</t>
  </si>
  <si>
    <t xml:space="preserve">ANULADA </t>
  </si>
  <si>
    <t>NOTARIA 77</t>
  </si>
  <si>
    <t>ESTACION PEAJE NORTE</t>
  </si>
  <si>
    <t>PAOLA REINA</t>
  </si>
  <si>
    <t>ANDREA BAILON</t>
  </si>
  <si>
    <t>DEPRECIACION 2018</t>
  </si>
  <si>
    <t>AÑO 2017</t>
  </si>
  <si>
    <t>AÑO 2018</t>
  </si>
  <si>
    <t>RETENCION</t>
  </si>
  <si>
    <t>…  ENERO  2019</t>
  </si>
  <si>
    <t>…  FEBRERO  2019</t>
  </si>
  <si>
    <t>…  MARZO  2019</t>
  </si>
  <si>
    <t>…  ABRIL  2019</t>
  </si>
  <si>
    <t>…  MAYO  2019</t>
  </si>
  <si>
    <t>…  JUNIO  2019</t>
  </si>
  <si>
    <t>…  JULIO  2019</t>
  </si>
  <si>
    <t>…  AGOSTO  2019</t>
  </si>
  <si>
    <t>…  SEPTIEMBRE  2019</t>
  </si>
  <si>
    <t>…  OCTUBRE  2019</t>
  </si>
  <si>
    <t>…  NOVIEMBRE  2019</t>
  </si>
  <si>
    <t>…  DICIEMBRE  2019</t>
  </si>
  <si>
    <t>INT FOOD SERVICE</t>
  </si>
  <si>
    <t>MARRIOT</t>
  </si>
  <si>
    <t xml:space="preserve">VARIAS </t>
  </si>
  <si>
    <t>RESUMEN IMPUESTO RENTA 2019</t>
  </si>
  <si>
    <t>PEAK</t>
  </si>
  <si>
    <t>MARIA JOSE TORRRES</t>
  </si>
  <si>
    <t xml:space="preserve">CELI GARCIA </t>
  </si>
  <si>
    <t xml:space="preserve">GOLDEN </t>
  </si>
  <si>
    <t>ALMACENES BOYACA</t>
  </si>
  <si>
    <t>TROYA GASOLINERA</t>
  </si>
  <si>
    <t>GOLDEN VACATIONS</t>
  </si>
  <si>
    <t xml:space="preserve">PEAK PERFORMANCE </t>
  </si>
  <si>
    <t>ANDRADE FABIAN</t>
  </si>
  <si>
    <t>MARIA JOSE TORRES</t>
  </si>
  <si>
    <t>CELI GARCIA</t>
  </si>
  <si>
    <t>IMPRENTA ECOGRAFICA</t>
  </si>
  <si>
    <t>ANULADO</t>
  </si>
  <si>
    <t>FABIAN ANDRADE</t>
  </si>
  <si>
    <t>MARIA JOSE</t>
  </si>
  <si>
    <t>BAILON ANDREA</t>
  </si>
  <si>
    <t>DEL HIERRO ESTEVAN</t>
  </si>
  <si>
    <t xml:space="preserve">LIBERTY SEGUROS </t>
  </si>
  <si>
    <t>GASOLINERA LOS PINOS</t>
  </si>
  <si>
    <t>TABLA IMPUSTO A LA RENTA ANUAL EN RELACIÓN DE DEPENDENCIA AÑO 2019 EN DÓLARES nac-dgercg14-00001085</t>
  </si>
  <si>
    <t>TECNIFISSA</t>
  </si>
  <si>
    <t>ECOSYNC S.A</t>
  </si>
  <si>
    <t>GASOLINERA LULUNCOTO</t>
  </si>
  <si>
    <t xml:space="preserve">PAOLA REINA </t>
  </si>
  <si>
    <t>IMPATTOK SA</t>
  </si>
  <si>
    <t>TECNIFAISSA</t>
  </si>
  <si>
    <t>ATIMASA</t>
  </si>
  <si>
    <t>ES ANDINAEMPRESARIAL</t>
  </si>
  <si>
    <t>PDC</t>
  </si>
  <si>
    <t xml:space="preserve">DEL HIERRO ESTEBAN </t>
  </si>
  <si>
    <t>DR VACA JAVIER</t>
  </si>
  <si>
    <t xml:space="preserve">POR ENTRGARME </t>
  </si>
  <si>
    <t>PEAJE NORTE</t>
  </si>
  <si>
    <t xml:space="preserve">DEL HIERRO </t>
  </si>
  <si>
    <t>IMPATTOK</t>
  </si>
  <si>
    <t>JUAN DIEGO JARRIN</t>
  </si>
  <si>
    <t xml:space="preserve">PATRICIA GARCIA </t>
  </si>
  <si>
    <t xml:space="preserve">DISRIBUIDORA LINA </t>
  </si>
  <si>
    <t>LA KASA DEL PLASTICO</t>
  </si>
  <si>
    <t xml:space="preserve">SANCHEZ LUIS </t>
  </si>
  <si>
    <t>PATRICIA GARCIA</t>
  </si>
  <si>
    <t>TROYA MOSQUERA</t>
  </si>
  <si>
    <t>ENMARSI</t>
  </si>
  <si>
    <t>BURGER KING</t>
  </si>
  <si>
    <t>CLOSTHEPHARMA</t>
  </si>
  <si>
    <t>ANULADA</t>
  </si>
  <si>
    <t>POLLO DE LA TRI</t>
  </si>
  <si>
    <t>CORPORACION EL ROSADO</t>
  </si>
  <si>
    <t>CLOSTHEPARMA</t>
  </si>
  <si>
    <t xml:space="preserve">DEL HIERRO PAREDES </t>
  </si>
  <si>
    <t xml:space="preserve">ANULADO </t>
  </si>
  <si>
    <t>MARLENE PACHECO</t>
  </si>
  <si>
    <t>AB MANUEL PEREZ</t>
  </si>
  <si>
    <t>SHEMLON</t>
  </si>
  <si>
    <t xml:space="preserve">DELI </t>
  </si>
  <si>
    <t>COMERCILA LINA</t>
  </si>
  <si>
    <t>COMERCIAL KYWI</t>
  </si>
  <si>
    <t>DEL HIERRO ALVARO</t>
  </si>
  <si>
    <t>CUZCO CIA LTDA</t>
  </si>
  <si>
    <t>HOMERO PAÑAFIEL</t>
  </si>
  <si>
    <t>ELIT TOURS</t>
  </si>
  <si>
    <t>ECOGRAFICA</t>
  </si>
  <si>
    <t xml:space="preserve">DEL HIERRO ALVARO </t>
  </si>
  <si>
    <t>DOMOLUZ</t>
  </si>
  <si>
    <t>GOLDENVACATIONS</t>
  </si>
  <si>
    <t xml:space="preserve">INGENIA </t>
  </si>
  <si>
    <t>CARDINAL</t>
  </si>
  <si>
    <t>AÑO 2019</t>
  </si>
  <si>
    <t>PIZZARICA</t>
  </si>
  <si>
    <t>º</t>
  </si>
  <si>
    <t>SIN DERECHO A CREDITO</t>
  </si>
  <si>
    <t>OK</t>
  </si>
  <si>
    <t>ARTE Y CULTURA</t>
  </si>
  <si>
    <t>632</t>
  </si>
  <si>
    <t>AXXIS</t>
  </si>
  <si>
    <t>1708231582001</t>
  </si>
  <si>
    <t>DEDUCIBLE</t>
  </si>
  <si>
    <t>304514</t>
  </si>
  <si>
    <t>1792106524001</t>
  </si>
  <si>
    <t>FERRUCCI</t>
  </si>
  <si>
    <t>1757443609001</t>
  </si>
  <si>
    <t>1161</t>
  </si>
  <si>
    <t>JOVENES INGENIEROS</t>
  </si>
  <si>
    <t>1716580780001</t>
  </si>
  <si>
    <t>128174</t>
  </si>
  <si>
    <t>LA FAVORITA</t>
  </si>
  <si>
    <t>1790016919001</t>
  </si>
  <si>
    <t>1289</t>
  </si>
  <si>
    <t>FISIOMEDACTIVA</t>
  </si>
  <si>
    <t>1792795931001</t>
  </si>
  <si>
    <t>170863</t>
  </si>
  <si>
    <t>1792159105001</t>
  </si>
  <si>
    <t>779905</t>
  </si>
  <si>
    <t>1790710319001</t>
  </si>
  <si>
    <t>3976</t>
  </si>
  <si>
    <t>SMARKYS</t>
  </si>
  <si>
    <t>1792846331001</t>
  </si>
  <si>
    <t>3456</t>
  </si>
  <si>
    <t>TOA</t>
  </si>
  <si>
    <t>1792255325001</t>
  </si>
  <si>
    <t>68174</t>
  </si>
  <si>
    <t>SUPERDEPORTE</t>
  </si>
  <si>
    <t>1791413237001</t>
  </si>
  <si>
    <t>15268</t>
  </si>
  <si>
    <t>68175</t>
  </si>
  <si>
    <t>LIBRERÍA ESPAÑOLA</t>
  </si>
  <si>
    <t>1790170497001</t>
  </si>
  <si>
    <t>453961</t>
  </si>
  <si>
    <t>24567</t>
  </si>
  <si>
    <t>MANOFACTURAS ECT</t>
  </si>
  <si>
    <t>1790027791001</t>
  </si>
  <si>
    <t>GAMES Y GAMES</t>
  </si>
  <si>
    <t>1710682616001</t>
  </si>
  <si>
    <t>272246</t>
  </si>
  <si>
    <t>EL ROSADO</t>
  </si>
  <si>
    <t>0990004196001</t>
  </si>
  <si>
    <t>45112</t>
  </si>
  <si>
    <t>CRUZ AZUL</t>
  </si>
  <si>
    <t>0990858322001</t>
  </si>
  <si>
    <t>44136</t>
  </si>
  <si>
    <t>MARTINIZING</t>
  </si>
  <si>
    <t>1790397815001</t>
  </si>
  <si>
    <t>18868</t>
  </si>
  <si>
    <t>22680</t>
  </si>
  <si>
    <t>22465</t>
  </si>
  <si>
    <t>LIBRERÍA SELECTA</t>
  </si>
  <si>
    <t>1701144675001</t>
  </si>
  <si>
    <t>1437105</t>
  </si>
  <si>
    <t>564101</t>
  </si>
  <si>
    <t>MEDICITY</t>
  </si>
  <si>
    <t>1791984722001</t>
  </si>
  <si>
    <t>59642</t>
  </si>
  <si>
    <t>1087894</t>
  </si>
  <si>
    <t>23777</t>
  </si>
  <si>
    <t>ROLAND</t>
  </si>
  <si>
    <t>1791915313001</t>
  </si>
  <si>
    <t>119652</t>
  </si>
  <si>
    <t>12394</t>
  </si>
  <si>
    <t>HONG KONG</t>
  </si>
  <si>
    <t>1722130281001</t>
  </si>
  <si>
    <t>MUSEO DE PAJA TOQUILLA</t>
  </si>
  <si>
    <t>0190043207001</t>
  </si>
  <si>
    <t>95449</t>
  </si>
  <si>
    <t>742090</t>
  </si>
  <si>
    <t>583843</t>
  </si>
  <si>
    <t>TEXTIMODA</t>
  </si>
  <si>
    <t>1791412354001</t>
  </si>
  <si>
    <t>535987</t>
  </si>
  <si>
    <t xml:space="preserve">MUNDO DEPORTIVO </t>
  </si>
  <si>
    <t>1792056055001</t>
  </si>
  <si>
    <t>55626</t>
  </si>
  <si>
    <t>ACQUA</t>
  </si>
  <si>
    <t>1792232856001</t>
  </si>
  <si>
    <t>DAMMTOR SA</t>
  </si>
  <si>
    <t>0992621702001</t>
  </si>
  <si>
    <t>60942</t>
  </si>
  <si>
    <t>18584</t>
  </si>
  <si>
    <t>CLINICA STA. LUCIA</t>
  </si>
  <si>
    <t>1791401190001</t>
  </si>
  <si>
    <t>19069</t>
  </si>
  <si>
    <t>61933</t>
  </si>
  <si>
    <t>65980</t>
  </si>
  <si>
    <t>19775</t>
  </si>
  <si>
    <t>1816</t>
  </si>
  <si>
    <t>MED. ESTETICA</t>
  </si>
  <si>
    <t>1712629755001</t>
  </si>
  <si>
    <t>21347</t>
  </si>
  <si>
    <t>3386</t>
  </si>
  <si>
    <t>SANDRA LOPEZ</t>
  </si>
  <si>
    <t>0101855120001</t>
  </si>
  <si>
    <t>15228</t>
  </si>
  <si>
    <t>MR PODOLOGO</t>
  </si>
  <si>
    <t>1717713778001</t>
  </si>
  <si>
    <t>1435706</t>
  </si>
  <si>
    <t>1135784</t>
  </si>
  <si>
    <t>FARMACIA GUTIERREZ</t>
  </si>
  <si>
    <t>0501251995001</t>
  </si>
  <si>
    <t>PODOLOGOLO</t>
  </si>
  <si>
    <t>Ingreso de relacion de dependencia</t>
  </si>
  <si>
    <t>Aporte IESS</t>
  </si>
  <si>
    <t>TotaL</t>
  </si>
  <si>
    <t>Ingreso de relacion de dependencia 2</t>
  </si>
  <si>
    <t>fffff</t>
  </si>
  <si>
    <t>ARRIENDOS 12%</t>
  </si>
  <si>
    <t>ARRIENDOS 0%</t>
  </si>
  <si>
    <t>DETALE DE GASTO</t>
  </si>
  <si>
    <t>COMIDA</t>
  </si>
  <si>
    <t>ARRIENDOS SIN IVA</t>
  </si>
  <si>
    <t xml:space="preserve">ARRIENDOS CON IVA </t>
  </si>
  <si>
    <t>Hernesto Burbano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</si>
</sst>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0000000000000"/>
    <numFmt numFmtId="166" formatCode="#,##0.0000"/>
    <numFmt numFmtId="167" formatCode="#,##0.000000000000"/>
  </numFmts>
  <fonts count="3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u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8"/>
      <color rgb="FF3F99D5"/>
      <name val="Arial"/>
      <family val="2"/>
    </font>
    <font>
      <sz val="8"/>
      <color rgb="FF000000"/>
      <name val="Arial"/>
      <family val="2"/>
    </font>
    <font>
      <sz val="11"/>
      <color rgb="FFD31BC6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1"/>
      <color rgb="FF4F4F4F"/>
      <name val="Roboto"/>
    </font>
    <font>
      <sz val="11"/>
      <color rgb="FF0070C0"/>
      <name val="Cambria"/>
      <family val="1"/>
      <scheme val="major"/>
    </font>
    <font>
      <b/>
      <sz val="10"/>
      <color rgb="FF0070C0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2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2"/>
      <color indexed="8"/>
      <name val="Cambria"/>
      <family val="1"/>
      <scheme val="major"/>
    </font>
    <font>
      <sz val="10"/>
      <color indexed="8"/>
      <name val="Cambria"/>
      <family val="1"/>
      <scheme val="major"/>
    </font>
    <font>
      <sz val="12"/>
      <color theme="1"/>
      <name val="Cambria"/>
      <family val="1"/>
      <scheme val="major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18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2" fillId="0" borderId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61">
    <xf numFmtId="0" fontId="0" fillId="0" borderId="0" xfId="0"/>
    <xf numFmtId="0" fontId="2" fillId="0" borderId="0" xfId="1"/>
    <xf numFmtId="0" fontId="3" fillId="0" borderId="0" xfId="1" applyFont="1"/>
    <xf numFmtId="0" fontId="4" fillId="0" borderId="0" xfId="1" applyFont="1"/>
    <xf numFmtId="2" fontId="2" fillId="0" borderId="0" xfId="1" applyNumberFormat="1"/>
    <xf numFmtId="2" fontId="3" fillId="0" borderId="0" xfId="1" applyNumberFormat="1" applyFont="1"/>
    <xf numFmtId="17" fontId="3" fillId="0" borderId="0" xfId="1" applyNumberFormat="1" applyFont="1"/>
    <xf numFmtId="9" fontId="2" fillId="0" borderId="0" xfId="1" applyNumberFormat="1"/>
    <xf numFmtId="2" fontId="3" fillId="0" borderId="1" xfId="1" applyNumberFormat="1" applyFont="1" applyBorder="1"/>
    <xf numFmtId="2" fontId="2" fillId="0" borderId="2" xfId="1" applyNumberFormat="1" applyBorder="1"/>
    <xf numFmtId="2" fontId="3" fillId="0" borderId="0" xfId="1" applyNumberFormat="1" applyFont="1" applyBorder="1"/>
    <xf numFmtId="4" fontId="2" fillId="0" borderId="0" xfId="1" applyNumberFormat="1"/>
    <xf numFmtId="0" fontId="4" fillId="0" borderId="0" xfId="1" applyFont="1" applyAlignment="1">
      <alignment horizontal="center"/>
    </xf>
    <xf numFmtId="0" fontId="2" fillId="0" borderId="0" xfId="1" applyFill="1"/>
    <xf numFmtId="2" fontId="0" fillId="0" borderId="0" xfId="0" applyNumberFormat="1"/>
    <xf numFmtId="4" fontId="0" fillId="0" borderId="0" xfId="0" applyNumberFormat="1"/>
    <xf numFmtId="0" fontId="0" fillId="0" borderId="3" xfId="0" applyBorder="1"/>
    <xf numFmtId="0" fontId="0" fillId="0" borderId="0" xfId="0" applyFill="1"/>
    <xf numFmtId="0" fontId="7" fillId="0" borderId="0" xfId="0" applyFont="1"/>
    <xf numFmtId="0" fontId="0" fillId="0" borderId="3" xfId="0" applyFill="1" applyBorder="1"/>
    <xf numFmtId="2" fontId="0" fillId="0" borderId="3" xfId="0" applyNumberFormat="1" applyBorder="1"/>
    <xf numFmtId="2" fontId="0" fillId="0" borderId="3" xfId="0" applyNumberFormat="1" applyFill="1" applyBorder="1"/>
    <xf numFmtId="0" fontId="1" fillId="0" borderId="0" xfId="0" applyFont="1"/>
    <xf numFmtId="2" fontId="8" fillId="0" borderId="0" xfId="1" applyNumberFormat="1" applyFont="1" applyFill="1"/>
    <xf numFmtId="4" fontId="1" fillId="0" borderId="3" xfId="0" applyNumberFormat="1" applyFont="1" applyBorder="1"/>
    <xf numFmtId="4" fontId="2" fillId="0" borderId="3" xfId="1" applyNumberFormat="1" applyFill="1" applyBorder="1"/>
    <xf numFmtId="4" fontId="0" fillId="0" borderId="3" xfId="0" applyNumberFormat="1" applyFill="1" applyBorder="1"/>
    <xf numFmtId="4" fontId="0" fillId="0" borderId="3" xfId="0" applyNumberFormat="1" applyBorder="1"/>
    <xf numFmtId="4" fontId="2" fillId="0" borderId="3" xfId="1" applyNumberFormat="1" applyBorder="1"/>
    <xf numFmtId="0" fontId="2" fillId="0" borderId="3" xfId="1" applyFill="1" applyBorder="1"/>
    <xf numFmtId="2" fontId="2" fillId="0" borderId="0" xfId="1" applyNumberFormat="1" applyFill="1"/>
    <xf numFmtId="165" fontId="0" fillId="0" borderId="3" xfId="0" applyNumberFormat="1" applyBorder="1"/>
    <xf numFmtId="0" fontId="0" fillId="0" borderId="6" xfId="0" applyFill="1" applyBorder="1"/>
    <xf numFmtId="165" fontId="0" fillId="0" borderId="3" xfId="0" applyNumberForma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10" fillId="3" borderId="3" xfId="0" applyFont="1" applyFill="1" applyBorder="1"/>
    <xf numFmtId="4" fontId="10" fillId="3" borderId="3" xfId="0" applyNumberFormat="1" applyFont="1" applyFill="1" applyBorder="1"/>
    <xf numFmtId="0" fontId="1" fillId="0" borderId="3" xfId="0" applyFont="1" applyBorder="1"/>
    <xf numFmtId="0" fontId="4" fillId="4" borderId="11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5" fontId="0" fillId="0" borderId="3" xfId="0" quotePrefix="1" applyNumberFormat="1" applyBorder="1" applyAlignment="1">
      <alignment horizontal="right"/>
    </xf>
    <xf numFmtId="0" fontId="0" fillId="0" borderId="0" xfId="0" applyBorder="1"/>
    <xf numFmtId="2" fontId="0" fillId="0" borderId="0" xfId="0" applyNumberFormat="1" applyBorder="1"/>
    <xf numFmtId="2" fontId="8" fillId="0" borderId="0" xfId="1" applyNumberFormat="1" applyFont="1" applyFill="1" applyBorder="1"/>
    <xf numFmtId="0" fontId="10" fillId="0" borderId="3" xfId="0" applyFont="1" applyBorder="1" applyAlignment="1">
      <alignment horizontal="center" vertical="center" wrapText="1"/>
    </xf>
    <xf numFmtId="164" fontId="5" fillId="0" borderId="3" xfId="2" applyNumberFormat="1" applyFont="1" applyBorder="1"/>
    <xf numFmtId="164" fontId="5" fillId="0" borderId="0" xfId="2" applyNumberFormat="1" applyFont="1" applyBorder="1"/>
    <xf numFmtId="164" fontId="1" fillId="0" borderId="0" xfId="2" applyNumberFormat="1" applyFont="1" applyBorder="1"/>
    <xf numFmtId="164" fontId="5" fillId="0" borderId="29" xfId="2" applyNumberFormat="1" applyFont="1" applyBorder="1"/>
    <xf numFmtId="164" fontId="5" fillId="0" borderId="25" xfId="2" applyNumberFormat="1" applyFont="1" applyBorder="1"/>
    <xf numFmtId="164" fontId="5" fillId="0" borderId="30" xfId="2" applyNumberFormat="1" applyFont="1" applyBorder="1"/>
    <xf numFmtId="164" fontId="1" fillId="0" borderId="3" xfId="2" applyNumberFormat="1" applyFont="1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164" fontId="0" fillId="6" borderId="36" xfId="0" applyNumberFormat="1" applyFill="1" applyBorder="1"/>
    <xf numFmtId="164" fontId="0" fillId="6" borderId="15" xfId="0" applyNumberFormat="1" applyFill="1" applyBorder="1"/>
    <xf numFmtId="0" fontId="12" fillId="0" borderId="0" xfId="0" applyFont="1"/>
    <xf numFmtId="0" fontId="0" fillId="0" borderId="3" xfId="0" applyFont="1" applyFill="1" applyBorder="1"/>
    <xf numFmtId="0" fontId="0" fillId="0" borderId="3" xfId="0" quotePrefix="1" applyFill="1" applyBorder="1"/>
    <xf numFmtId="0" fontId="0" fillId="0" borderId="3" xfId="0" quotePrefix="1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14" fontId="0" fillId="0" borderId="0" xfId="0" applyNumberFormat="1" applyFill="1" applyBorder="1"/>
    <xf numFmtId="0" fontId="0" fillId="0" borderId="0" xfId="0" applyFill="1" applyBorder="1"/>
    <xf numFmtId="165" fontId="0" fillId="0" borderId="0" xfId="0" applyNumberFormat="1" applyFill="1" applyBorder="1"/>
    <xf numFmtId="2" fontId="0" fillId="0" borderId="0" xfId="0" applyNumberFormat="1" applyFill="1" applyBorder="1"/>
    <xf numFmtId="2" fontId="0" fillId="0" borderId="6" xfId="0" applyNumberFormat="1" applyBorder="1"/>
    <xf numFmtId="0" fontId="3" fillId="0" borderId="0" xfId="1" applyFont="1" applyFill="1"/>
    <xf numFmtId="0" fontId="2" fillId="0" borderId="0" xfId="1" applyFont="1" applyFill="1"/>
    <xf numFmtId="0" fontId="2" fillId="7" borderId="0" xfId="1" applyFill="1"/>
    <xf numFmtId="2" fontId="2" fillId="7" borderId="0" xfId="1" applyNumberFormat="1" applyFill="1"/>
    <xf numFmtId="0" fontId="3" fillId="0" borderId="0" xfId="0" applyFont="1"/>
    <xf numFmtId="1" fontId="14" fillId="0" borderId="0" xfId="2" applyNumberFormat="1" applyFont="1" applyAlignment="1">
      <alignment horizontal="center"/>
    </xf>
    <xf numFmtId="164" fontId="2" fillId="0" borderId="0" xfId="2" applyFont="1"/>
    <xf numFmtId="164" fontId="0" fillId="0" borderId="0" xfId="2" applyFont="1"/>
    <xf numFmtId="0" fontId="1" fillId="0" borderId="0" xfId="0" applyFont="1" applyAlignment="1">
      <alignment horizontal="right"/>
    </xf>
    <xf numFmtId="0" fontId="11" fillId="0" borderId="0" xfId="0" applyFont="1" applyFill="1"/>
    <xf numFmtId="165" fontId="0" fillId="0" borderId="3" xfId="0" applyNumberFormat="1" applyFill="1" applyBorder="1"/>
    <xf numFmtId="2" fontId="13" fillId="0" borderId="3" xfId="0" applyNumberFormat="1" applyFont="1" applyFill="1" applyBorder="1"/>
    <xf numFmtId="0" fontId="1" fillId="3" borderId="13" xfId="0" applyFont="1" applyFill="1" applyBorder="1" applyAlignment="1">
      <alignment horizontal="center" wrapText="1"/>
    </xf>
    <xf numFmtId="4" fontId="3" fillId="0" borderId="1" xfId="1" applyNumberFormat="1" applyFont="1" applyBorder="1"/>
    <xf numFmtId="4" fontId="2" fillId="0" borderId="2" xfId="1" applyNumberFormat="1" applyBorder="1"/>
    <xf numFmtId="4" fontId="3" fillId="0" borderId="0" xfId="1" applyNumberFormat="1" applyFont="1"/>
    <xf numFmtId="15" fontId="0" fillId="0" borderId="3" xfId="0" applyNumberFormat="1" applyBorder="1"/>
    <xf numFmtId="43" fontId="0" fillId="0" borderId="0" xfId="0" applyNumberFormat="1"/>
    <xf numFmtId="4" fontId="2" fillId="7" borderId="0" xfId="1" applyNumberFormat="1" applyFill="1"/>
    <xf numFmtId="15" fontId="0" fillId="0" borderId="3" xfId="0" applyNumberFormat="1" applyFill="1" applyBorder="1"/>
    <xf numFmtId="0" fontId="1" fillId="3" borderId="0" xfId="0" applyFont="1" applyFill="1" applyBorder="1" applyAlignment="1">
      <alignment horizontal="center"/>
    </xf>
    <xf numFmtId="4" fontId="0" fillId="0" borderId="0" xfId="0" applyNumberFormat="1" applyBorder="1"/>
    <xf numFmtId="2" fontId="1" fillId="0" borderId="0" xfId="0" applyNumberFormat="1" applyFont="1" applyBorder="1"/>
    <xf numFmtId="0" fontId="1" fillId="3" borderId="30" xfId="0" applyFont="1" applyFill="1" applyBorder="1" applyAlignment="1">
      <alignment horizontal="center"/>
    </xf>
    <xf numFmtId="0" fontId="9" fillId="8" borderId="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5" fillId="8" borderId="7" xfId="0" applyFont="1" applyFill="1" applyBorder="1" applyAlignment="1">
      <alignment horizontal="center"/>
    </xf>
    <xf numFmtId="3" fontId="2" fillId="0" borderId="3" xfId="1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2" fontId="0" fillId="0" borderId="6" xfId="0" applyNumberFormat="1" applyFill="1" applyBorder="1"/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165" fontId="0" fillId="0" borderId="3" xfId="0" applyNumberFormat="1" applyFont="1" applyBorder="1"/>
    <xf numFmtId="2" fontId="0" fillId="0" borderId="3" xfId="0" applyNumberFormat="1" applyFont="1" applyBorder="1"/>
    <xf numFmtId="15" fontId="0" fillId="0" borderId="3" xfId="0" applyNumberFormat="1" applyFont="1" applyBorder="1"/>
    <xf numFmtId="2" fontId="16" fillId="0" borderId="3" xfId="1" applyNumberFormat="1" applyFont="1" applyBorder="1"/>
    <xf numFmtId="0" fontId="13" fillId="0" borderId="3" xfId="1" applyFont="1" applyBorder="1"/>
    <xf numFmtId="15" fontId="13" fillId="0" borderId="3" xfId="1" applyNumberFormat="1" applyFont="1" applyBorder="1"/>
    <xf numFmtId="0" fontId="13" fillId="0" borderId="3" xfId="1" applyFont="1" applyFill="1" applyBorder="1"/>
    <xf numFmtId="2" fontId="0" fillId="0" borderId="0" xfId="0" applyNumberFormat="1" applyFont="1" applyBorder="1"/>
    <xf numFmtId="2" fontId="0" fillId="0" borderId="37" xfId="0" applyNumberFormat="1" applyBorder="1"/>
    <xf numFmtId="15" fontId="0" fillId="0" borderId="30" xfId="0" applyNumberFormat="1" applyBorder="1"/>
    <xf numFmtId="15" fontId="0" fillId="0" borderId="38" xfId="0" applyNumberFormat="1" applyBorder="1"/>
    <xf numFmtId="0" fontId="15" fillId="8" borderId="3" xfId="0" applyFont="1" applyFill="1" applyBorder="1" applyAlignment="1">
      <alignment horizontal="center"/>
    </xf>
    <xf numFmtId="4" fontId="1" fillId="0" borderId="4" xfId="0" applyNumberFormat="1" applyFont="1" applyBorder="1"/>
    <xf numFmtId="4" fontId="1" fillId="2" borderId="3" xfId="0" applyNumberFormat="1" applyFont="1" applyFill="1" applyBorder="1"/>
    <xf numFmtId="4" fontId="1" fillId="0" borderId="5" xfId="0" applyNumberFormat="1" applyFont="1" applyBorder="1"/>
    <xf numFmtId="4" fontId="1" fillId="5" borderId="0" xfId="0" applyNumberFormat="1" applyFont="1" applyFill="1"/>
    <xf numFmtId="164" fontId="10" fillId="0" borderId="26" xfId="3" applyNumberFormat="1" applyFont="1" applyBorder="1" applyAlignment="1">
      <alignment horizontal="center" vertical="center" wrapText="1"/>
    </xf>
    <xf numFmtId="4" fontId="1" fillId="0" borderId="0" xfId="0" applyNumberFormat="1" applyFont="1" applyBorder="1"/>
    <xf numFmtId="4" fontId="10" fillId="3" borderId="0" xfId="0" applyNumberFormat="1" applyFont="1" applyFill="1" applyBorder="1"/>
    <xf numFmtId="164" fontId="0" fillId="0" borderId="3" xfId="3" applyNumberFormat="1" applyFont="1" applyBorder="1" applyAlignment="1">
      <alignment horizontal="right"/>
    </xf>
    <xf numFmtId="164" fontId="0" fillId="0" borderId="3" xfId="3" applyNumberFormat="1" applyFont="1" applyBorder="1"/>
    <xf numFmtId="164" fontId="1" fillId="0" borderId="3" xfId="3" applyNumberFormat="1" applyFont="1" applyBorder="1" applyAlignment="1">
      <alignment horizontal="right"/>
    </xf>
    <xf numFmtId="0" fontId="1" fillId="0" borderId="5" xfId="0" applyFont="1" applyBorder="1"/>
    <xf numFmtId="43" fontId="1" fillId="0" borderId="3" xfId="3" applyFont="1" applyBorder="1" applyAlignment="1">
      <alignment horizontal="right"/>
    </xf>
    <xf numFmtId="43" fontId="0" fillId="0" borderId="3" xfId="3" applyFont="1" applyBorder="1" applyAlignment="1">
      <alignment horizontal="right"/>
    </xf>
    <xf numFmtId="43" fontId="0" fillId="0" borderId="3" xfId="3" applyFont="1" applyBorder="1"/>
    <xf numFmtId="43" fontId="0" fillId="0" borderId="3" xfId="3" applyFont="1" applyFill="1" applyBorder="1" applyAlignment="1">
      <alignment horizontal="right"/>
    </xf>
    <xf numFmtId="9" fontId="0" fillId="0" borderId="3" xfId="3" applyNumberFormat="1" applyFont="1" applyBorder="1"/>
    <xf numFmtId="164" fontId="0" fillId="0" borderId="0" xfId="2" applyFont="1" applyBorder="1"/>
    <xf numFmtId="0" fontId="6" fillId="0" borderId="0" xfId="0" applyFont="1" applyBorder="1"/>
    <xf numFmtId="164" fontId="6" fillId="0" borderId="0" xfId="2" applyFont="1" applyBorder="1"/>
    <xf numFmtId="4" fontId="0" fillId="0" borderId="7" xfId="0" applyNumberFormat="1" applyBorder="1"/>
    <xf numFmtId="2" fontId="0" fillId="0" borderId="0" xfId="0" applyNumberFormat="1" applyFill="1"/>
    <xf numFmtId="0" fontId="20" fillId="0" borderId="0" xfId="0" applyFont="1"/>
    <xf numFmtId="164" fontId="10" fillId="0" borderId="27" xfId="3" applyNumberFormat="1" applyFont="1" applyFill="1" applyBorder="1" applyAlignment="1">
      <alignment horizontal="center" vertical="center" wrapText="1"/>
    </xf>
    <xf numFmtId="164" fontId="5" fillId="0" borderId="39" xfId="2" applyNumberFormat="1" applyFont="1" applyBorder="1"/>
    <xf numFmtId="0" fontId="0" fillId="0" borderId="5" xfId="0" applyBorder="1" applyAlignment="1">
      <alignment horizontal="center"/>
    </xf>
    <xf numFmtId="0" fontId="0" fillId="0" borderId="40" xfId="0" applyBorder="1" applyAlignment="1">
      <alignment horizontal="center"/>
    </xf>
    <xf numFmtId="164" fontId="5" fillId="0" borderId="31" xfId="2" applyNumberFormat="1" applyFont="1" applyBorder="1"/>
    <xf numFmtId="164" fontId="5" fillId="0" borderId="32" xfId="2" applyNumberFormat="1" applyFont="1" applyBorder="1"/>
    <xf numFmtId="164" fontId="5" fillId="0" borderId="33" xfId="2" applyNumberFormat="1" applyFont="1" applyBorder="1"/>
    <xf numFmtId="164" fontId="5" fillId="0" borderId="7" xfId="2" applyNumberFormat="1" applyFont="1" applyBorder="1"/>
    <xf numFmtId="164" fontId="5" fillId="0" borderId="34" xfId="2" applyNumberFormat="1" applyFont="1" applyBorder="1"/>
    <xf numFmtId="164" fontId="5" fillId="0" borderId="35" xfId="2" applyNumberFormat="1" applyFont="1" applyFill="1" applyBorder="1"/>
    <xf numFmtId="0" fontId="1" fillId="0" borderId="0" xfId="0" applyFont="1" applyFill="1"/>
    <xf numFmtId="0" fontId="2" fillId="0" borderId="0" xfId="1" applyFill="1" applyBorder="1"/>
    <xf numFmtId="2" fontId="2" fillId="0" borderId="0" xfId="1" applyNumberFormat="1" applyFill="1" applyBorder="1"/>
    <xf numFmtId="9" fontId="2" fillId="0" borderId="0" xfId="1" applyNumberFormat="1" applyFill="1" applyBorder="1"/>
    <xf numFmtId="0" fontId="1" fillId="0" borderId="0" xfId="0" applyFont="1" applyFill="1" applyBorder="1"/>
    <xf numFmtId="0" fontId="0" fillId="0" borderId="0" xfId="0" applyAlignment="1">
      <alignment horizontal="right"/>
    </xf>
    <xf numFmtId="164" fontId="0" fillId="0" borderId="0" xfId="2" applyFont="1" applyFill="1" applyBorder="1" applyAlignment="1">
      <alignment horizontal="right"/>
    </xf>
    <xf numFmtId="164" fontId="6" fillId="0" borderId="0" xfId="2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right"/>
    </xf>
    <xf numFmtId="43" fontId="1" fillId="0" borderId="0" xfId="0" applyNumberFormat="1" applyFont="1"/>
    <xf numFmtId="0" fontId="3" fillId="7" borderId="0" xfId="1" applyFont="1" applyFill="1"/>
    <xf numFmtId="0" fontId="3" fillId="10" borderId="0" xfId="1" applyFont="1" applyFill="1"/>
    <xf numFmtId="0" fontId="1" fillId="10" borderId="0" xfId="0" applyFont="1" applyFill="1"/>
    <xf numFmtId="4" fontId="3" fillId="10" borderId="0" xfId="1" applyNumberFormat="1" applyFont="1" applyFill="1"/>
    <xf numFmtId="164" fontId="5" fillId="11" borderId="3" xfId="2" applyNumberFormat="1" applyFont="1" applyFill="1" applyBorder="1"/>
    <xf numFmtId="0" fontId="0" fillId="11" borderId="3" xfId="0" applyFill="1" applyBorder="1"/>
    <xf numFmtId="0" fontId="21" fillId="12" borderId="0" xfId="0" applyFont="1" applyFill="1" applyAlignment="1">
      <alignment horizontal="center" wrapText="1"/>
    </xf>
    <xf numFmtId="0" fontId="22" fillId="12" borderId="0" xfId="0" applyFont="1" applyFill="1" applyAlignment="1">
      <alignment horizontal="center" wrapText="1"/>
    </xf>
    <xf numFmtId="9" fontId="22" fillId="12" borderId="0" xfId="0" applyNumberFormat="1" applyFont="1" applyFill="1" applyAlignment="1">
      <alignment horizontal="center" wrapText="1"/>
    </xf>
    <xf numFmtId="164" fontId="0" fillId="0" borderId="0" xfId="0" applyNumberFormat="1"/>
    <xf numFmtId="165" fontId="0" fillId="0" borderId="0" xfId="0" quotePrefix="1" applyNumberFormat="1" applyBorder="1" applyAlignment="1">
      <alignment horizontal="right"/>
    </xf>
    <xf numFmtId="2" fontId="1" fillId="0" borderId="0" xfId="0" applyNumberFormat="1" applyFont="1"/>
    <xf numFmtId="15" fontId="0" fillId="0" borderId="0" xfId="0" applyNumberFormat="1" applyBorder="1"/>
    <xf numFmtId="165" fontId="0" fillId="0" borderId="0" xfId="0" applyNumberFormat="1" applyBorder="1"/>
    <xf numFmtId="1" fontId="0" fillId="0" borderId="0" xfId="0" applyNumberFormat="1"/>
    <xf numFmtId="1" fontId="9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Border="1"/>
    <xf numFmtId="1" fontId="1" fillId="0" borderId="0" xfId="0" applyNumberFormat="1" applyFont="1" applyBorder="1"/>
    <xf numFmtId="1" fontId="0" fillId="0" borderId="0" xfId="0" applyNumberFormat="1" applyFill="1" applyBorder="1"/>
    <xf numFmtId="1" fontId="0" fillId="0" borderId="0" xfId="0" applyNumberFormat="1" applyFont="1" applyBorder="1"/>
    <xf numFmtId="1" fontId="0" fillId="0" borderId="37" xfId="0" applyNumberFormat="1" applyBorder="1"/>
    <xf numFmtId="1" fontId="0" fillId="0" borderId="0" xfId="2" applyNumberFormat="1" applyFont="1" applyBorder="1" applyAlignment="1">
      <alignment horizontal="right"/>
    </xf>
    <xf numFmtId="0" fontId="3" fillId="13" borderId="0" xfId="1" applyFont="1" applyFill="1"/>
    <xf numFmtId="0" fontId="2" fillId="13" borderId="0" xfId="1" applyFill="1"/>
    <xf numFmtId="0" fontId="0" fillId="13" borderId="0" xfId="0" applyFill="1"/>
    <xf numFmtId="4" fontId="3" fillId="13" borderId="0" xfId="1" applyNumberFormat="1" applyFont="1" applyFill="1"/>
    <xf numFmtId="0" fontId="2" fillId="0" borderId="0" xfId="1" applyAlignment="1">
      <alignment horizontal="center"/>
    </xf>
    <xf numFmtId="0" fontId="3" fillId="0" borderId="0" xfId="1" applyFont="1" applyAlignment="1">
      <alignment horizontal="center"/>
    </xf>
    <xf numFmtId="16" fontId="2" fillId="0" borderId="0" xfId="1" applyNumberFormat="1"/>
    <xf numFmtId="0" fontId="2" fillId="0" borderId="0" xfId="1" applyNumberFormat="1"/>
    <xf numFmtId="0" fontId="2" fillId="0" borderId="0" xfId="1" applyNumberFormat="1" applyFill="1"/>
    <xf numFmtId="4" fontId="1" fillId="3" borderId="13" xfId="0" applyNumberFormat="1" applyFont="1" applyFill="1" applyBorder="1" applyAlignment="1">
      <alignment horizontal="center" wrapText="1"/>
    </xf>
    <xf numFmtId="4" fontId="0" fillId="0" borderId="0" xfId="0" applyNumberFormat="1" applyFill="1"/>
    <xf numFmtId="4" fontId="0" fillId="0" borderId="0" xfId="0" applyNumberFormat="1" applyFill="1" applyBorder="1"/>
    <xf numFmtId="4" fontId="2" fillId="0" borderId="0" xfId="1" applyNumberFormat="1" applyFill="1"/>
    <xf numFmtId="9" fontId="0" fillId="0" borderId="0" xfId="0" applyNumberFormat="1"/>
    <xf numFmtId="4" fontId="0" fillId="0" borderId="3" xfId="3" applyNumberFormat="1" applyFont="1" applyBorder="1"/>
    <xf numFmtId="4" fontId="2" fillId="0" borderId="0" xfId="2" applyNumberFormat="1" applyFont="1"/>
    <xf numFmtId="4" fontId="0" fillId="0" borderId="0" xfId="2" applyNumberFormat="1" applyFont="1"/>
    <xf numFmtId="4" fontId="3" fillId="0" borderId="2" xfId="1" applyNumberFormat="1" applyFont="1" applyBorder="1"/>
    <xf numFmtId="43" fontId="17" fillId="9" borderId="3" xfId="3" applyFont="1" applyFill="1" applyBorder="1"/>
    <xf numFmtId="164" fontId="0" fillId="9" borderId="3" xfId="3" applyNumberFormat="1" applyFont="1" applyFill="1" applyBorder="1"/>
    <xf numFmtId="0" fontId="23" fillId="0" borderId="3" xfId="0" applyFont="1" applyBorder="1" applyAlignment="1">
      <alignment horizontal="center"/>
    </xf>
    <xf numFmtId="2" fontId="23" fillId="0" borderId="3" xfId="0" applyNumberFormat="1" applyFont="1" applyBorder="1"/>
    <xf numFmtId="0" fontId="0" fillId="0" borderId="3" xfId="0" applyFont="1" applyBorder="1"/>
    <xf numFmtId="2" fontId="0" fillId="0" borderId="3" xfId="0" applyNumberFormat="1" applyFont="1" applyFill="1" applyBorder="1"/>
    <xf numFmtId="165" fontId="0" fillId="0" borderId="3" xfId="0" quotePrefix="1" applyNumberFormat="1" applyFont="1" applyBorder="1" applyAlignment="1">
      <alignment horizontal="right"/>
    </xf>
    <xf numFmtId="165" fontId="0" fillId="0" borderId="3" xfId="0" applyNumberFormat="1" applyFont="1" applyFill="1" applyBorder="1"/>
    <xf numFmtId="4" fontId="24" fillId="0" borderId="0" xfId="1" applyNumberFormat="1" applyFont="1" applyFill="1"/>
    <xf numFmtId="0" fontId="5" fillId="0" borderId="0" xfId="0" applyFont="1" applyFill="1"/>
    <xf numFmtId="0" fontId="24" fillId="0" borderId="0" xfId="1" applyFont="1"/>
    <xf numFmtId="0" fontId="3" fillId="0" borderId="0" xfId="1" applyNumberFormat="1" applyFont="1"/>
    <xf numFmtId="9" fontId="3" fillId="0" borderId="0" xfId="1" applyNumberFormat="1" applyFont="1"/>
    <xf numFmtId="4" fontId="2" fillId="0" borderId="0" xfId="1" applyNumberFormat="1" applyFont="1"/>
    <xf numFmtId="166" fontId="3" fillId="13" borderId="0" xfId="1" applyNumberFormat="1" applyFont="1" applyFill="1"/>
    <xf numFmtId="2" fontId="2" fillId="0" borderId="0" xfId="1" applyNumberFormat="1" applyBorder="1"/>
    <xf numFmtId="164" fontId="2" fillId="0" borderId="0" xfId="2" applyFont="1" applyBorder="1"/>
    <xf numFmtId="164" fontId="2" fillId="0" borderId="0" xfId="2" applyFont="1" applyBorder="1" applyAlignment="1">
      <alignment horizontal="right"/>
    </xf>
    <xf numFmtId="43" fontId="5" fillId="0" borderId="3" xfId="3" applyFont="1" applyBorder="1"/>
    <xf numFmtId="4" fontId="0" fillId="0" borderId="0" xfId="0" applyNumberFormat="1" applyFont="1"/>
    <xf numFmtId="43" fontId="1" fillId="14" borderId="3" xfId="3" applyFont="1" applyFill="1" applyBorder="1" applyAlignment="1">
      <alignment horizontal="right"/>
    </xf>
    <xf numFmtId="9" fontId="0" fillId="0" borderId="3" xfId="0" applyNumberFormat="1" applyBorder="1"/>
    <xf numFmtId="9" fontId="5" fillId="0" borderId="3" xfId="3" applyNumberFormat="1" applyFont="1" applyBorder="1"/>
    <xf numFmtId="0" fontId="2" fillId="0" borderId="0" xfId="1" applyFill="1" applyBorder="1" applyAlignment="1">
      <alignment horizontal="center" vertical="center" wrapText="1"/>
    </xf>
    <xf numFmtId="2" fontId="2" fillId="0" borderId="0" xfId="1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16" xfId="0" applyFont="1" applyBorder="1"/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31" xfId="0" applyFill="1" applyBorder="1"/>
    <xf numFmtId="0" fontId="0" fillId="0" borderId="31" xfId="0" applyBorder="1"/>
    <xf numFmtId="0" fontId="0" fillId="0" borderId="45" xfId="0" applyBorder="1"/>
    <xf numFmtId="43" fontId="5" fillId="0" borderId="46" xfId="3" applyFont="1" applyBorder="1"/>
    <xf numFmtId="43" fontId="1" fillId="0" borderId="46" xfId="3" applyFont="1" applyBorder="1"/>
    <xf numFmtId="0" fontId="0" fillId="0" borderId="46" xfId="0" applyBorder="1"/>
    <xf numFmtId="4" fontId="0" fillId="0" borderId="32" xfId="0" applyNumberFormat="1" applyBorder="1"/>
    <xf numFmtId="4" fontId="0" fillId="0" borderId="47" xfId="0" applyNumberFormat="1" applyBorder="1"/>
    <xf numFmtId="2" fontId="0" fillId="0" borderId="0" xfId="0" applyNumberFormat="1" applyFill="1" applyBorder="1" applyAlignment="1">
      <alignment horizontal="center" vertical="center" wrapText="1"/>
    </xf>
    <xf numFmtId="0" fontId="10" fillId="0" borderId="35" xfId="0" applyFont="1" applyBorder="1"/>
    <xf numFmtId="0" fontId="0" fillId="0" borderId="48" xfId="0" applyBorder="1"/>
    <xf numFmtId="0" fontId="0" fillId="0" borderId="48" xfId="0" applyBorder="1" applyAlignment="1">
      <alignment horizontal="center"/>
    </xf>
    <xf numFmtId="4" fontId="5" fillId="0" borderId="3" xfId="3" applyNumberFormat="1" applyFont="1" applyBorder="1"/>
    <xf numFmtId="4" fontId="5" fillId="0" borderId="3" xfId="3" applyNumberFormat="1" applyFont="1" applyFill="1" applyBorder="1"/>
    <xf numFmtId="0" fontId="3" fillId="0" borderId="0" xfId="1" applyFont="1" applyFill="1" applyBorder="1"/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164" fontId="5" fillId="0" borderId="50" xfId="2" applyNumberFormat="1" applyFont="1" applyBorder="1"/>
    <xf numFmtId="164" fontId="0" fillId="6" borderId="41" xfId="0" applyNumberFormat="1" applyFill="1" applyBorder="1"/>
    <xf numFmtId="0" fontId="24" fillId="0" borderId="0" xfId="1" applyNumberFormat="1" applyFont="1" applyFill="1"/>
    <xf numFmtId="0" fontId="24" fillId="0" borderId="0" xfId="1" applyFont="1" applyFill="1"/>
    <xf numFmtId="0" fontId="2" fillId="0" borderId="0" xfId="1" applyFill="1" applyBorder="1" applyAlignment="1">
      <alignment horizontal="center"/>
    </xf>
    <xf numFmtId="16" fontId="2" fillId="0" borderId="0" xfId="1" applyNumberFormat="1" applyFill="1"/>
    <xf numFmtId="166" fontId="3" fillId="10" borderId="0" xfId="1" applyNumberFormat="1" applyFont="1" applyFill="1"/>
    <xf numFmtId="0" fontId="1" fillId="3" borderId="12" xfId="0" applyFont="1" applyFill="1" applyBorder="1" applyAlignment="1">
      <alignment horizontal="center" vertical="center" wrapText="1"/>
    </xf>
    <xf numFmtId="0" fontId="1" fillId="15" borderId="3" xfId="0" applyFont="1" applyFill="1" applyBorder="1"/>
    <xf numFmtId="43" fontId="1" fillId="15" borderId="3" xfId="3" applyFont="1" applyFill="1" applyBorder="1" applyAlignment="1">
      <alignment horizontal="right"/>
    </xf>
    <xf numFmtId="0" fontId="6" fillId="16" borderId="3" xfId="0" applyFont="1" applyFill="1" applyBorder="1"/>
    <xf numFmtId="43" fontId="6" fillId="16" borderId="3" xfId="3" applyFont="1" applyFill="1" applyBorder="1" applyAlignment="1">
      <alignment horizontal="right"/>
    </xf>
    <xf numFmtId="43" fontId="1" fillId="16" borderId="3" xfId="3" applyFont="1" applyFill="1" applyBorder="1"/>
    <xf numFmtId="43" fontId="6" fillId="16" borderId="3" xfId="3" applyFont="1" applyFill="1" applyBorder="1"/>
    <xf numFmtId="0" fontId="26" fillId="0" borderId="0" xfId="0" applyFont="1"/>
    <xf numFmtId="17" fontId="3" fillId="17" borderId="14" xfId="1" applyNumberFormat="1" applyFont="1" applyFill="1" applyBorder="1"/>
    <xf numFmtId="0" fontId="2" fillId="17" borderId="15" xfId="1" applyFill="1" applyBorder="1"/>
    <xf numFmtId="17" fontId="3" fillId="17" borderId="41" xfId="1" applyNumberFormat="1" applyFont="1" applyFill="1" applyBorder="1"/>
    <xf numFmtId="17" fontId="3" fillId="17" borderId="15" xfId="1" applyNumberFormat="1" applyFont="1" applyFill="1" applyBorder="1"/>
    <xf numFmtId="164" fontId="3" fillId="0" borderId="1" xfId="2" applyFont="1" applyBorder="1"/>
    <xf numFmtId="164" fontId="2" fillId="0" borderId="0" xfId="2" applyFont="1" applyFill="1"/>
    <xf numFmtId="164" fontId="2" fillId="0" borderId="2" xfId="2" applyFont="1" applyBorder="1"/>
    <xf numFmtId="164" fontId="3" fillId="0" borderId="0" xfId="2" applyFont="1"/>
    <xf numFmtId="164" fontId="3" fillId="13" borderId="0" xfId="2" applyFont="1" applyFill="1"/>
    <xf numFmtId="164" fontId="2" fillId="7" borderId="0" xfId="2" applyFont="1" applyFill="1"/>
    <xf numFmtId="0" fontId="27" fillId="0" borderId="0" xfId="0" applyFont="1"/>
    <xf numFmtId="1" fontId="2" fillId="0" borderId="0" xfId="1" applyNumberFormat="1" applyFill="1"/>
    <xf numFmtId="4" fontId="0" fillId="14" borderId="3" xfId="0" applyNumberFormat="1" applyFill="1" applyBorder="1"/>
    <xf numFmtId="164" fontId="1" fillId="0" borderId="3" xfId="2" applyFont="1" applyBorder="1" applyAlignment="1">
      <alignment horizontal="right"/>
    </xf>
    <xf numFmtId="9" fontId="1" fillId="0" borderId="3" xfId="5" applyNumberFormat="1" applyFont="1" applyBorder="1" applyAlignment="1">
      <alignment horizontal="right"/>
    </xf>
    <xf numFmtId="167" fontId="2" fillId="7" borderId="0" xfId="1" applyNumberFormat="1" applyFill="1"/>
    <xf numFmtId="10" fontId="0" fillId="0" borderId="0" xfId="0" applyNumberFormat="1"/>
    <xf numFmtId="4" fontId="0" fillId="0" borderId="0" xfId="0" applyNumberFormat="1" applyFont="1" applyProtection="1"/>
    <xf numFmtId="4" fontId="0" fillId="0" borderId="0" xfId="0" applyNumberFormat="1" applyProtection="1"/>
    <xf numFmtId="4" fontId="1" fillId="0" borderId="3" xfId="0" applyNumberFormat="1" applyFont="1" applyBorder="1" applyProtection="1"/>
    <xf numFmtId="43" fontId="2" fillId="0" borderId="0" xfId="1" applyNumberFormat="1"/>
    <xf numFmtId="43" fontId="2" fillId="0" borderId="0" xfId="2" applyNumberFormat="1" applyFont="1"/>
    <xf numFmtId="43" fontId="2" fillId="0" borderId="0" xfId="1" applyNumberFormat="1" applyFill="1"/>
    <xf numFmtId="43" fontId="3" fillId="0" borderId="1" xfId="1" applyNumberFormat="1" applyFont="1" applyBorder="1"/>
    <xf numFmtId="43" fontId="24" fillId="0" borderId="0" xfId="1" applyNumberFormat="1" applyFont="1"/>
    <xf numFmtId="43" fontId="24" fillId="0" borderId="0" xfId="1" applyNumberFormat="1" applyFont="1" applyFill="1"/>
    <xf numFmtId="0" fontId="28" fillId="0" borderId="0" xfId="0" applyFont="1"/>
    <xf numFmtId="0" fontId="29" fillId="0" borderId="0" xfId="1" applyFont="1" applyFill="1"/>
    <xf numFmtId="0" fontId="30" fillId="0" borderId="0" xfId="0" applyFont="1"/>
    <xf numFmtId="49" fontId="32" fillId="0" borderId="3" xfId="0" applyNumberFormat="1" applyFont="1" applyFill="1" applyBorder="1" applyAlignment="1">
      <alignment horizontal="center"/>
    </xf>
    <xf numFmtId="14" fontId="32" fillId="0" borderId="3" xfId="0" applyNumberFormat="1" applyFont="1" applyFill="1" applyBorder="1"/>
    <xf numFmtId="49" fontId="33" fillId="0" borderId="3" xfId="8" applyNumberFormat="1" applyFont="1" applyFill="1" applyBorder="1"/>
    <xf numFmtId="2" fontId="32" fillId="0" borderId="3" xfId="0" applyNumberFormat="1" applyFont="1" applyFill="1" applyBorder="1"/>
    <xf numFmtId="0" fontId="30" fillId="0" borderId="0" xfId="0" applyFont="1" applyFill="1"/>
    <xf numFmtId="0" fontId="34" fillId="3" borderId="3" xfId="0" applyFont="1" applyFill="1" applyBorder="1" applyAlignment="1">
      <alignment horizontal="center"/>
    </xf>
    <xf numFmtId="0" fontId="32" fillId="0" borderId="0" xfId="0" applyFont="1" applyFill="1"/>
    <xf numFmtId="49" fontId="33" fillId="0" borderId="3" xfId="9" applyNumberFormat="1" applyFont="1" applyFill="1" applyBorder="1" applyAlignment="1">
      <alignment horizontal="center"/>
    </xf>
    <xf numFmtId="0" fontId="33" fillId="0" borderId="3" xfId="10" applyFont="1" applyFill="1" applyBorder="1"/>
    <xf numFmtId="0" fontId="32" fillId="0" borderId="0" xfId="0" applyFont="1"/>
    <xf numFmtId="0" fontId="33" fillId="0" borderId="3" xfId="10" applyFont="1" applyFill="1" applyBorder="1" applyAlignment="1">
      <alignment horizontal="right"/>
    </xf>
    <xf numFmtId="14" fontId="32" fillId="0" borderId="3" xfId="0" applyNumberFormat="1" applyFont="1" applyBorder="1"/>
    <xf numFmtId="0" fontId="32" fillId="0" borderId="3" xfId="0" applyFont="1" applyFill="1" applyBorder="1"/>
    <xf numFmtId="1" fontId="32" fillId="0" borderId="3" xfId="11" applyNumberFormat="1" applyFont="1" applyBorder="1" applyAlignment="1">
      <alignment horizontal="left"/>
    </xf>
    <xf numFmtId="49" fontId="33" fillId="0" borderId="3" xfId="1" applyNumberFormat="1" applyFont="1" applyBorder="1"/>
    <xf numFmtId="0" fontId="33" fillId="0" borderId="3" xfId="12" applyFont="1" applyBorder="1"/>
    <xf numFmtId="49" fontId="33" fillId="0" borderId="3" xfId="13" applyNumberFormat="1" applyFont="1" applyBorder="1"/>
    <xf numFmtId="2" fontId="32" fillId="0" borderId="3" xfId="0" applyNumberFormat="1" applyFont="1" applyBorder="1"/>
    <xf numFmtId="0" fontId="32" fillId="0" borderId="3" xfId="10" applyFont="1" applyFill="1" applyBorder="1" applyAlignment="1">
      <alignment horizontal="left"/>
    </xf>
    <xf numFmtId="0" fontId="33" fillId="0" borderId="3" xfId="12" applyFont="1" applyFill="1" applyBorder="1"/>
    <xf numFmtId="0" fontId="35" fillId="0" borderId="0" xfId="0" applyFont="1" applyFill="1" applyAlignment="1">
      <alignment horizontal="left"/>
    </xf>
    <xf numFmtId="0" fontId="32" fillId="0" borderId="3" xfId="0" applyFont="1" applyFill="1" applyBorder="1" applyAlignment="1">
      <alignment horizontal="center"/>
    </xf>
    <xf numFmtId="0" fontId="33" fillId="0" borderId="3" xfId="0" applyFont="1" applyFill="1" applyBorder="1"/>
    <xf numFmtId="14" fontId="32" fillId="0" borderId="3" xfId="0" applyNumberFormat="1" applyFont="1" applyFill="1" applyBorder="1" applyAlignment="1">
      <alignment horizontal="center"/>
    </xf>
    <xf numFmtId="0" fontId="24" fillId="0" borderId="3" xfId="0" applyFont="1" applyFill="1" applyBorder="1" applyAlignment="1">
      <alignment horizontal="left"/>
    </xf>
    <xf numFmtId="0" fontId="24" fillId="0" borderId="3" xfId="0" applyFont="1" applyBorder="1"/>
    <xf numFmtId="165" fontId="24" fillId="0" borderId="3" xfId="0" applyNumberFormat="1" applyFont="1" applyBorder="1" applyAlignment="1">
      <alignment horizontal="left"/>
    </xf>
    <xf numFmtId="2" fontId="33" fillId="0" borderId="0" xfId="1" applyNumberFormat="1" applyFont="1"/>
    <xf numFmtId="0" fontId="32" fillId="0" borderId="6" xfId="0" applyFont="1" applyBorder="1"/>
    <xf numFmtId="0" fontId="32" fillId="0" borderId="3" xfId="0" applyFont="1" applyBorder="1"/>
    <xf numFmtId="165" fontId="32" fillId="0" borderId="3" xfId="0" applyNumberFormat="1" applyFont="1" applyBorder="1"/>
    <xf numFmtId="49" fontId="36" fillId="0" borderId="3" xfId="1" applyNumberFormat="1" applyFont="1" applyFill="1" applyBorder="1" applyAlignment="1">
      <alignment horizontal="center"/>
    </xf>
    <xf numFmtId="0" fontId="36" fillId="0" borderId="29" xfId="1" applyFont="1" applyFill="1" applyBorder="1" applyAlignment="1">
      <alignment horizontal="left"/>
    </xf>
    <xf numFmtId="2" fontId="32" fillId="0" borderId="0" xfId="0" applyNumberFormat="1" applyFont="1" applyFill="1"/>
    <xf numFmtId="165" fontId="32" fillId="0" borderId="3" xfId="0" applyNumberFormat="1" applyFont="1" applyFill="1" applyBorder="1" applyAlignment="1">
      <alignment horizontal="left"/>
    </xf>
    <xf numFmtId="49" fontId="36" fillId="0" borderId="3" xfId="14" applyNumberFormat="1" applyFont="1" applyFill="1" applyBorder="1" applyAlignment="1">
      <alignment horizontal="center"/>
    </xf>
    <xf numFmtId="0" fontId="36" fillId="0" borderId="3" xfId="15" applyFont="1" applyFill="1" applyBorder="1" applyAlignment="1">
      <alignment horizontal="left"/>
    </xf>
    <xf numFmtId="49" fontId="32" fillId="0" borderId="3" xfId="16" applyNumberFormat="1" applyFont="1" applyFill="1" applyBorder="1" applyAlignment="1">
      <alignment horizontal="left"/>
    </xf>
    <xf numFmtId="0" fontId="30" fillId="0" borderId="3" xfId="0" applyFont="1" applyFill="1" applyBorder="1" applyAlignment="1">
      <alignment horizontal="center"/>
    </xf>
    <xf numFmtId="0" fontId="30" fillId="0" borderId="3" xfId="0" applyFont="1" applyFill="1" applyBorder="1"/>
    <xf numFmtId="165" fontId="30" fillId="0" borderId="3" xfId="0" applyNumberFormat="1" applyFont="1" applyFill="1" applyBorder="1" applyAlignment="1">
      <alignment horizontal="left"/>
    </xf>
    <xf numFmtId="2" fontId="30" fillId="0" borderId="3" xfId="0" applyNumberFormat="1" applyFont="1" applyFill="1" applyBorder="1"/>
    <xf numFmtId="49" fontId="33" fillId="0" borderId="3" xfId="17" applyNumberFormat="1" applyFont="1" applyBorder="1"/>
    <xf numFmtId="165" fontId="32" fillId="0" borderId="3" xfId="0" applyNumberFormat="1" applyFont="1" applyFill="1" applyBorder="1"/>
    <xf numFmtId="165" fontId="30" fillId="0" borderId="3" xfId="0" applyNumberFormat="1" applyFont="1" applyFill="1" applyBorder="1"/>
    <xf numFmtId="49" fontId="33" fillId="0" borderId="0" xfId="17" applyNumberFormat="1" applyFont="1" applyBorder="1"/>
    <xf numFmtId="0" fontId="33" fillId="0" borderId="0" xfId="12" applyFont="1" applyFill="1" applyBorder="1"/>
    <xf numFmtId="49" fontId="33" fillId="0" borderId="0" xfId="13" applyNumberFormat="1" applyFont="1" applyBorder="1"/>
    <xf numFmtId="0" fontId="30" fillId="0" borderId="0" xfId="0" applyFont="1" applyBorder="1"/>
    <xf numFmtId="0" fontId="32" fillId="0" borderId="0" xfId="0" applyFont="1" applyFill="1" applyBorder="1"/>
    <xf numFmtId="49" fontId="32" fillId="0" borderId="3" xfId="16" applyNumberFormat="1" applyFont="1" applyBorder="1" applyAlignment="1">
      <alignment horizontal="left"/>
    </xf>
    <xf numFmtId="2" fontId="32" fillId="0" borderId="7" xfId="0" applyNumberFormat="1" applyFont="1" applyBorder="1"/>
    <xf numFmtId="0" fontId="30" fillId="0" borderId="0" xfId="0" applyFont="1" applyBorder="1" applyAlignment="1">
      <alignment horizontal="center"/>
    </xf>
    <xf numFmtId="49" fontId="37" fillId="0" borderId="0" xfId="16" applyNumberFormat="1" applyFont="1" applyBorder="1" applyAlignment="1">
      <alignment horizontal="left"/>
    </xf>
    <xf numFmtId="2" fontId="34" fillId="0" borderId="41" xfId="0" applyNumberFormat="1" applyFont="1" applyBorder="1"/>
    <xf numFmtId="2" fontId="30" fillId="0" borderId="7" xfId="0" applyNumberFormat="1" applyFont="1" applyFill="1" applyBorder="1"/>
    <xf numFmtId="2" fontId="32" fillId="0" borderId="7" xfId="0" applyNumberFormat="1" applyFont="1" applyFill="1" applyBorder="1"/>
    <xf numFmtId="0" fontId="32" fillId="0" borderId="52" xfId="0" applyFont="1" applyBorder="1"/>
    <xf numFmtId="0" fontId="32" fillId="0" borderId="17" xfId="0" applyFont="1" applyBorder="1"/>
    <xf numFmtId="0" fontId="32" fillId="0" borderId="46" xfId="0" applyFont="1" applyFill="1" applyBorder="1"/>
    <xf numFmtId="2" fontId="34" fillId="0" borderId="14" xfId="0" applyNumberFormat="1" applyFont="1" applyBorder="1"/>
    <xf numFmtId="0" fontId="32" fillId="0" borderId="53" xfId="0" applyFont="1" applyBorder="1"/>
    <xf numFmtId="0" fontId="30" fillId="0" borderId="52" xfId="0" applyFont="1" applyBorder="1"/>
    <xf numFmtId="0" fontId="30" fillId="0" borderId="53" xfId="0" applyFont="1" applyBorder="1"/>
    <xf numFmtId="2" fontId="34" fillId="0" borderId="0" xfId="0" applyNumberFormat="1" applyFont="1" applyBorder="1"/>
    <xf numFmtId="2" fontId="34" fillId="0" borderId="17" xfId="0" applyNumberFormat="1" applyFont="1" applyBorder="1"/>
    <xf numFmtId="0" fontId="30" fillId="0" borderId="54" xfId="0" applyFont="1" applyBorder="1"/>
    <xf numFmtId="2" fontId="30" fillId="0" borderId="14" xfId="0" applyNumberFormat="1" applyFont="1" applyBorder="1"/>
    <xf numFmtId="0" fontId="30" fillId="0" borderId="56" xfId="0" applyFont="1" applyBorder="1"/>
    <xf numFmtId="1" fontId="32" fillId="0" borderId="0" xfId="11" applyNumberFormat="1" applyFont="1" applyBorder="1" applyAlignment="1">
      <alignment horizontal="left"/>
    </xf>
    <xf numFmtId="0" fontId="34" fillId="18" borderId="3" xfId="0" applyFont="1" applyFill="1" applyBorder="1" applyAlignment="1">
      <alignment horizontal="center"/>
    </xf>
    <xf numFmtId="49" fontId="32" fillId="0" borderId="5" xfId="0" applyNumberFormat="1" applyFont="1" applyFill="1" applyBorder="1" applyAlignment="1">
      <alignment horizontal="center"/>
    </xf>
    <xf numFmtId="14" fontId="32" fillId="0" borderId="5" xfId="0" applyNumberFormat="1" applyFont="1" applyFill="1" applyBorder="1" applyAlignment="1"/>
    <xf numFmtId="49" fontId="33" fillId="0" borderId="5" xfId="8" applyNumberFormat="1" applyFont="1" applyFill="1" applyBorder="1"/>
    <xf numFmtId="2" fontId="32" fillId="0" borderId="5" xfId="0" applyNumberFormat="1" applyFont="1" applyFill="1" applyBorder="1"/>
    <xf numFmtId="0" fontId="34" fillId="18" borderId="3" xfId="0" applyFont="1" applyFill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34" fillId="3" borderId="3" xfId="0" applyFont="1" applyFill="1" applyBorder="1" applyAlignment="1">
      <alignment horizontal="center" wrapText="1"/>
    </xf>
    <xf numFmtId="0" fontId="0" fillId="0" borderId="57" xfId="0" applyBorder="1" applyAlignment="1">
      <alignment horizontal="center"/>
    </xf>
    <xf numFmtId="2" fontId="2" fillId="0" borderId="53" xfId="1" applyNumberFormat="1" applyFill="1" applyBorder="1"/>
    <xf numFmtId="49" fontId="33" fillId="0" borderId="29" xfId="8" applyNumberFormat="1" applyFont="1" applyFill="1" applyBorder="1"/>
    <xf numFmtId="0" fontId="0" fillId="0" borderId="41" xfId="0" applyBorder="1"/>
    <xf numFmtId="0" fontId="0" fillId="0" borderId="29" xfId="0" applyBorder="1"/>
    <xf numFmtId="0" fontId="0" fillId="0" borderId="41" xfId="0" applyFill="1" applyBorder="1" applyAlignment="1">
      <alignment horizontal="center"/>
    </xf>
    <xf numFmtId="164" fontId="5" fillId="0" borderId="41" xfId="2" applyNumberFormat="1" applyFont="1" applyFill="1" applyBorder="1"/>
    <xf numFmtId="43" fontId="5" fillId="0" borderId="3" xfId="7" applyNumberFormat="1" applyFont="1" applyBorder="1"/>
    <xf numFmtId="43" fontId="0" fillId="0" borderId="27" xfId="7" applyNumberFormat="1" applyFont="1" applyBorder="1" applyAlignment="1">
      <alignment horizontal="center"/>
    </xf>
    <xf numFmtId="43" fontId="5" fillId="0" borderId="3" xfId="7" applyNumberFormat="1" applyFont="1" applyFill="1" applyBorder="1"/>
    <xf numFmtId="43" fontId="0" fillId="0" borderId="27" xfId="7" applyNumberFormat="1" applyFont="1" applyFill="1" applyBorder="1" applyAlignment="1">
      <alignment horizontal="center"/>
    </xf>
    <xf numFmtId="43" fontId="5" fillId="0" borderId="4" xfId="7" applyNumberFormat="1" applyFont="1" applyBorder="1"/>
    <xf numFmtId="43" fontId="0" fillId="0" borderId="28" xfId="7" applyNumberFormat="1" applyFont="1" applyBorder="1" applyAlignment="1">
      <alignment horizontal="center"/>
    </xf>
    <xf numFmtId="43" fontId="0" fillId="0" borderId="26" xfId="7" applyNumberFormat="1" applyFont="1" applyFill="1" applyBorder="1"/>
    <xf numFmtId="43" fontId="5" fillId="0" borderId="30" xfId="7" applyNumberFormat="1" applyFont="1" applyFill="1" applyBorder="1"/>
    <xf numFmtId="43" fontId="5" fillId="0" borderId="30" xfId="7" applyNumberFormat="1" applyFont="1" applyBorder="1"/>
    <xf numFmtId="0" fontId="0" fillId="0" borderId="58" xfId="0" applyBorder="1"/>
    <xf numFmtId="43" fontId="5" fillId="0" borderId="59" xfId="7" applyNumberFormat="1" applyFont="1" applyFill="1" applyBorder="1"/>
    <xf numFmtId="43" fontId="5" fillId="0" borderId="60" xfId="7" applyNumberFormat="1" applyFont="1" applyBorder="1"/>
    <xf numFmtId="43" fontId="0" fillId="0" borderId="3" xfId="7" applyNumberFormat="1" applyFont="1" applyFill="1" applyBorder="1"/>
    <xf numFmtId="164" fontId="2" fillId="2" borderId="0" xfId="2" applyFont="1" applyFill="1" applyProtection="1"/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31" fillId="3" borderId="8" xfId="0" applyFont="1" applyFill="1" applyBorder="1" applyAlignment="1">
      <alignment horizontal="center"/>
    </xf>
    <xf numFmtId="0" fontId="31" fillId="3" borderId="9" xfId="0" applyFont="1" applyFill="1" applyBorder="1" applyAlignment="1">
      <alignment horizontal="center"/>
    </xf>
    <xf numFmtId="0" fontId="31" fillId="3" borderId="10" xfId="0" applyFont="1" applyFill="1" applyBorder="1" applyAlignment="1">
      <alignment horizontal="center"/>
    </xf>
    <xf numFmtId="0" fontId="31" fillId="3" borderId="55" xfId="0" applyFont="1" applyFill="1" applyBorder="1" applyAlignment="1">
      <alignment horizontal="center" vertical="center" wrapText="1"/>
    </xf>
    <xf numFmtId="0" fontId="31" fillId="3" borderId="51" xfId="0" applyFont="1" applyFill="1" applyBorder="1" applyAlignment="1">
      <alignment horizontal="center"/>
    </xf>
    <xf numFmtId="0" fontId="10" fillId="0" borderId="22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164" fontId="5" fillId="0" borderId="14" xfId="2" applyNumberFormat="1" applyFont="1" applyBorder="1" applyAlignment="1">
      <alignment horizontal="center"/>
    </xf>
    <xf numFmtId="164" fontId="5" fillId="0" borderId="36" xfId="2" applyNumberFormat="1" applyFont="1" applyBorder="1" applyAlignment="1">
      <alignment horizontal="center"/>
    </xf>
    <xf numFmtId="164" fontId="5" fillId="0" borderId="15" xfId="2" applyNumberFormat="1" applyFont="1" applyBorder="1" applyAlignment="1">
      <alignment horizontal="center"/>
    </xf>
    <xf numFmtId="9" fontId="2" fillId="2" borderId="0" xfId="1" applyNumberFormat="1" applyFill="1" applyProtection="1"/>
    <xf numFmtId="0" fontId="2" fillId="0" borderId="0" xfId="1" applyProtection="1"/>
    <xf numFmtId="0" fontId="3" fillId="0" borderId="0" xfId="1" applyFont="1" applyProtection="1">
      <protection locked="0"/>
    </xf>
    <xf numFmtId="0" fontId="2" fillId="0" borderId="0" xfId="1" applyProtection="1">
      <protection locked="0"/>
    </xf>
    <xf numFmtId="2" fontId="2" fillId="0" borderId="0" xfId="1" applyNumberFormat="1" applyProtection="1">
      <protection locked="0"/>
    </xf>
    <xf numFmtId="0" fontId="0" fillId="0" borderId="0" xfId="0" applyProtection="1">
      <protection locked="0"/>
    </xf>
    <xf numFmtId="17" fontId="3" fillId="17" borderId="14" xfId="1" applyNumberFormat="1" applyFont="1" applyFill="1" applyBorder="1" applyProtection="1">
      <protection locked="0"/>
    </xf>
    <xf numFmtId="17" fontId="3" fillId="17" borderId="36" xfId="1" applyNumberFormat="1" applyFont="1" applyFill="1" applyBorder="1" applyProtection="1">
      <protection locked="0"/>
    </xf>
    <xf numFmtId="0" fontId="2" fillId="17" borderId="15" xfId="1" applyFill="1" applyBorder="1" applyProtection="1">
      <protection locked="0"/>
    </xf>
    <xf numFmtId="17" fontId="3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4" fillId="0" borderId="0" xfId="1" applyFont="1" applyAlignment="1" applyProtection="1">
      <alignment horizontal="center"/>
      <protection locked="0"/>
    </xf>
    <xf numFmtId="0" fontId="4" fillId="4" borderId="11" xfId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Protection="1">
      <protection locked="0"/>
    </xf>
    <xf numFmtId="43" fontId="0" fillId="0" borderId="0" xfId="0" applyNumberFormat="1" applyProtection="1">
      <protection locked="0"/>
    </xf>
    <xf numFmtId="16" fontId="2" fillId="0" borderId="0" xfId="1" applyNumberFormat="1" applyProtection="1">
      <protection locked="0"/>
    </xf>
    <xf numFmtId="0" fontId="2" fillId="0" borderId="0" xfId="1" applyAlignment="1" applyProtection="1">
      <alignment horizontal="center"/>
      <protection locked="0"/>
    </xf>
    <xf numFmtId="43" fontId="2" fillId="0" borderId="0" xfId="2" applyNumberFormat="1" applyFont="1" applyProtection="1">
      <protection locked="0"/>
    </xf>
    <xf numFmtId="0" fontId="3" fillId="0" borderId="0" xfId="1" applyFont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" fillId="0" borderId="0" xfId="1" applyFill="1" applyAlignment="1" applyProtection="1">
      <alignment horizontal="center"/>
      <protection locked="0"/>
    </xf>
    <xf numFmtId="0" fontId="2" fillId="0" borderId="0" xfId="1" applyFont="1" applyFill="1" applyProtection="1">
      <protection locked="0"/>
    </xf>
    <xf numFmtId="0" fontId="0" fillId="0" borderId="2" xfId="0" applyBorder="1" applyProtection="1">
      <protection locked="0"/>
    </xf>
    <xf numFmtId="2" fontId="3" fillId="0" borderId="1" xfId="1" applyNumberFormat="1" applyFont="1" applyBorder="1" applyProtection="1">
      <protection locked="0"/>
    </xf>
    <xf numFmtId="2" fontId="3" fillId="0" borderId="0" xfId="1" applyNumberFormat="1" applyFont="1" applyBorder="1" applyProtection="1">
      <protection locked="0"/>
    </xf>
    <xf numFmtId="4" fontId="2" fillId="0" borderId="0" xfId="1" applyNumberFormat="1" applyProtection="1">
      <protection locked="0"/>
    </xf>
    <xf numFmtId="4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0" fontId="1" fillId="0" borderId="0" xfId="0" applyFont="1" applyProtection="1">
      <protection locked="0"/>
    </xf>
    <xf numFmtId="4" fontId="3" fillId="0" borderId="0" xfId="1" applyNumberFormat="1" applyFont="1" applyProtection="1">
      <protection locked="0"/>
    </xf>
    <xf numFmtId="2" fontId="3" fillId="0" borderId="0" xfId="1" applyNumberFormat="1" applyFont="1" applyProtection="1">
      <protection locked="0"/>
    </xf>
    <xf numFmtId="0" fontId="3" fillId="13" borderId="0" xfId="1" applyFont="1" applyFill="1" applyProtection="1">
      <protection locked="0"/>
    </xf>
    <xf numFmtId="0" fontId="0" fillId="13" borderId="0" xfId="0" applyFill="1" applyProtection="1">
      <protection locked="0"/>
    </xf>
    <xf numFmtId="4" fontId="3" fillId="13" borderId="0" xfId="1" applyNumberFormat="1" applyFont="1" applyFill="1" applyProtection="1">
      <protection locked="0"/>
    </xf>
    <xf numFmtId="0" fontId="2" fillId="7" borderId="0" xfId="1" applyFill="1" applyProtection="1">
      <protection locked="0"/>
    </xf>
    <xf numFmtId="2" fontId="2" fillId="7" borderId="0" xfId="1" applyNumberFormat="1" applyFill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1" fontId="14" fillId="0" borderId="0" xfId="2" applyNumberFormat="1" applyFont="1" applyAlignment="1" applyProtection="1">
      <alignment horizontal="center"/>
      <protection locked="0"/>
    </xf>
    <xf numFmtId="164" fontId="0" fillId="0" borderId="0" xfId="2" applyFont="1" applyProtection="1">
      <protection locked="0"/>
    </xf>
    <xf numFmtId="0" fontId="0" fillId="0" borderId="0" xfId="0" applyFill="1" applyProtection="1">
      <protection locked="0"/>
    </xf>
    <xf numFmtId="164" fontId="2" fillId="0" borderId="0" xfId="2" applyFont="1" applyProtection="1">
      <protection locked="0"/>
    </xf>
    <xf numFmtId="9" fontId="2" fillId="0" borderId="0" xfId="1" applyNumberFormat="1" applyProtection="1"/>
    <xf numFmtId="0" fontId="4" fillId="4" borderId="61" xfId="1" applyFont="1" applyFill="1" applyBorder="1" applyAlignment="1" applyProtection="1">
      <alignment horizontal="center" vertical="center" wrapText="1"/>
      <protection locked="0"/>
    </xf>
    <xf numFmtId="16" fontId="2" fillId="19" borderId="0" xfId="1" applyNumberFormat="1" applyFont="1" applyFill="1" applyBorder="1" applyProtection="1">
      <protection locked="0"/>
    </xf>
    <xf numFmtId="0" fontId="2" fillId="19" borderId="0" xfId="1" applyFont="1" applyFill="1" applyBorder="1" applyAlignment="1" applyProtection="1">
      <alignment horizontal="center"/>
      <protection locked="0"/>
    </xf>
    <xf numFmtId="0" fontId="2" fillId="19" borderId="0" xfId="1" applyFont="1" applyFill="1" applyBorder="1" applyProtection="1">
      <protection locked="0"/>
    </xf>
    <xf numFmtId="4" fontId="3" fillId="0" borderId="20" xfId="1" applyNumberFormat="1" applyFont="1" applyBorder="1" applyProtection="1">
      <protection locked="0"/>
    </xf>
    <xf numFmtId="164" fontId="2" fillId="19" borderId="0" xfId="1" applyNumberFormat="1" applyFont="1" applyFill="1" applyBorder="1" applyProtection="1">
      <protection locked="0"/>
    </xf>
    <xf numFmtId="164" fontId="2" fillId="19" borderId="20" xfId="1" applyNumberFormat="1" applyFont="1" applyFill="1" applyBorder="1" applyProtection="1">
      <protection locked="0"/>
    </xf>
  </cellXfs>
  <cellStyles count="18">
    <cellStyle name="Estilo 1" xfId="6"/>
    <cellStyle name="Millares" xfId="2" builtinId="3"/>
    <cellStyle name="Millares 2" xfId="3"/>
    <cellStyle name="Millares 2 2" xfId="4"/>
    <cellStyle name="Moneda" xfId="7" builtinId="4"/>
    <cellStyle name="Normal" xfId="0" builtinId="0"/>
    <cellStyle name="Normal 10" xfId="13"/>
    <cellStyle name="Normal 17" xfId="11"/>
    <cellStyle name="Normal 2" xfId="1"/>
    <cellStyle name="Normal 20" xfId="9"/>
    <cellStyle name="Normal 21" xfId="10"/>
    <cellStyle name="Normal 22" xfId="8"/>
    <cellStyle name="Normal 3" xfId="14"/>
    <cellStyle name="Normal 4" xfId="15"/>
    <cellStyle name="Normal 7" xfId="16"/>
    <cellStyle name="Normal 8" xfId="17"/>
    <cellStyle name="Normal 9" xfId="12"/>
    <cellStyle name="Porcentaje" xfId="5" builtinId="5"/>
  </cellStyles>
  <dxfs count="0"/>
  <tableStyles count="1" defaultTableStyle="TableStyleMedium9" defaultPivotStyle="PivotStyleLight16">
    <tableStyle name="Estilo de tabla 1" pivot="0" count="1"/>
  </tableStyles>
  <colors>
    <mruColors>
      <color rgb="FFCCFF99"/>
      <color rgb="FF0000CC"/>
      <color rgb="FF99FFCC"/>
      <color rgb="FF00CCFF"/>
      <color rgb="FFFFCC99"/>
      <color rgb="FF99CCFF"/>
      <color rgb="FFFFCCFF"/>
      <color rgb="FFFF99FF"/>
      <color rgb="FFFFCC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sp\spconsultores\PC%20Secretaria\Mis%20Documentos\SP%20CONSULTORAS%20&amp;%20ASOCIADOS\CLIENTES\NATURALES\CLIENTES%20VERONICA\SOLIS%20DIEGO\SRI\A&#209;O%202018\BORRADOR\SP%20BORADOR%202018%20ECO%20DIEGO%20SOL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secretaria\PC%20Secretaria\Mis%20Documentos\SP%20CONSULTORAS%20&amp;%20ASOCIADOS\CLIENTES\NATURALES\CLIENTES%20VERONICA\ING%20PEREZ%20SARA\SRI\BORRADOR%202015\ING%20SARA%20PAREZ_SP%20BORADOR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SUST MARZO"/>
      <sheetName val="ABRIL"/>
      <sheetName val="SUST ABRIL"/>
      <sheetName val="MAYO"/>
      <sheetName val="SUST MAYO"/>
      <sheetName val="JUNIO"/>
      <sheetName val="SUST JUNIO"/>
      <sheetName val="JULIO"/>
      <sheetName val="SUST JULIO"/>
      <sheetName val="AGOSTO"/>
      <sheetName val="SEPTIEMBRE"/>
      <sheetName val="OCTUBRE"/>
      <sheetName val="NOVIEMBRE"/>
      <sheetName val="DICIEMBRE"/>
      <sheetName val="ANEXO GASOTS"/>
      <sheetName val="SRI GASTOS"/>
      <sheetName val="SUST DICIEMB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57">
          <cell r="H57">
            <v>-597.78741413607861</v>
          </cell>
        </row>
        <row r="58">
          <cell r="H58">
            <v>-966.52120731551304</v>
          </cell>
        </row>
      </sheetData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DETALL.DEDUC."/>
      <sheetName val="RESUMEN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6">
          <cell r="Z16">
            <v>289.67</v>
          </cell>
        </row>
        <row r="18">
          <cell r="Z18">
            <v>450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FF99"/>
    <pageSetUpPr fitToPage="1"/>
  </sheetPr>
  <dimension ref="A1:N90"/>
  <sheetViews>
    <sheetView tabSelected="1" zoomScale="80" zoomScaleNormal="80" workbookViewId="0">
      <selection activeCell="A3" sqref="A3"/>
    </sheetView>
  </sheetViews>
  <sheetFormatPr baseColWidth="10" defaultRowHeight="15"/>
  <cols>
    <col min="1" max="1" width="6.28515625" style="416" customWidth="1"/>
    <col min="2" max="2" width="8.42578125" style="416" customWidth="1"/>
    <col min="3" max="3" width="16.140625" style="416" customWidth="1"/>
    <col min="4" max="4" width="27.85546875" style="416" customWidth="1"/>
    <col min="5" max="5" width="23.28515625" style="416" customWidth="1"/>
    <col min="6" max="6" width="24.85546875" style="416" customWidth="1"/>
    <col min="7" max="7" width="17.7109375" style="416" customWidth="1"/>
    <col min="8" max="8" width="18.42578125" style="416" customWidth="1"/>
    <col min="9" max="9" width="19.42578125" style="416" customWidth="1"/>
    <col min="10" max="10" width="11.42578125" style="416"/>
    <col min="11" max="11" width="11.7109375" style="416" customWidth="1"/>
    <col min="12" max="12" width="22" style="416" customWidth="1"/>
    <col min="13" max="13" width="18.42578125" style="416" customWidth="1"/>
    <col min="14" max="16384" width="11.42578125" style="416"/>
  </cols>
  <sheetData>
    <row r="1" spans="1:14">
      <c r="A1" s="413"/>
      <c r="B1" s="413"/>
      <c r="C1" s="414"/>
      <c r="D1" s="414"/>
      <c r="E1" s="415"/>
      <c r="F1" s="415"/>
      <c r="G1" s="415"/>
      <c r="H1" s="415"/>
      <c r="I1" s="415"/>
      <c r="J1" s="415"/>
    </row>
    <row r="2" spans="1:14" ht="15.75" thickBot="1">
      <c r="A2" s="413" t="s">
        <v>467</v>
      </c>
      <c r="B2" s="413"/>
      <c r="C2" s="414"/>
      <c r="D2" s="414"/>
      <c r="E2" s="415"/>
      <c r="F2" s="415"/>
      <c r="G2" s="415"/>
      <c r="H2" s="415"/>
      <c r="I2" s="415"/>
      <c r="J2" s="415"/>
    </row>
    <row r="3" spans="1:14" ht="15.75" thickBot="1">
      <c r="A3" s="417" t="s">
        <v>262</v>
      </c>
      <c r="B3" s="418"/>
      <c r="C3" s="419"/>
      <c r="D3" s="414"/>
      <c r="E3" s="414"/>
      <c r="F3" s="414"/>
      <c r="G3" s="414"/>
      <c r="H3" s="414"/>
      <c r="I3" s="414"/>
      <c r="J3" s="414"/>
    </row>
    <row r="4" spans="1:14">
      <c r="A4" s="420"/>
      <c r="B4" s="420"/>
      <c r="C4" s="414"/>
      <c r="D4" s="414"/>
      <c r="E4" s="414"/>
      <c r="F4" s="414"/>
      <c r="G4" s="414"/>
      <c r="H4" s="414"/>
      <c r="I4" s="414"/>
      <c r="J4" s="414"/>
    </row>
    <row r="5" spans="1:14">
      <c r="A5" s="413" t="s">
        <v>0</v>
      </c>
      <c r="B5" s="413"/>
      <c r="C5" s="414"/>
      <c r="D5" s="414"/>
      <c r="E5" s="414"/>
      <c r="F5" s="414"/>
      <c r="G5" s="414"/>
      <c r="H5" s="414"/>
      <c r="I5" s="414"/>
      <c r="J5" s="414"/>
    </row>
    <row r="6" spans="1:14" ht="15.75" thickBot="1">
      <c r="A6" s="414"/>
      <c r="B6" s="414"/>
      <c r="C6" s="421"/>
      <c r="D6" s="421"/>
      <c r="E6" s="422"/>
      <c r="F6" s="422"/>
      <c r="G6" s="422"/>
      <c r="H6" s="422"/>
      <c r="I6" s="422"/>
      <c r="J6" s="422"/>
    </row>
    <row r="7" spans="1:14" ht="15.75" thickTop="1">
      <c r="A7" s="414" t="s">
        <v>1</v>
      </c>
      <c r="B7" s="454" t="s">
        <v>231</v>
      </c>
      <c r="C7" s="454" t="s">
        <v>2</v>
      </c>
      <c r="D7" s="454" t="s">
        <v>3</v>
      </c>
      <c r="E7" s="454" t="s">
        <v>465</v>
      </c>
      <c r="F7" s="454" t="s">
        <v>466</v>
      </c>
      <c r="G7" s="454" t="s">
        <v>54</v>
      </c>
      <c r="H7" s="454" t="s">
        <v>52</v>
      </c>
      <c r="I7" s="454" t="s">
        <v>49</v>
      </c>
      <c r="J7" s="454" t="s">
        <v>4</v>
      </c>
      <c r="K7" s="454" t="s">
        <v>9</v>
      </c>
      <c r="L7" s="454" t="s">
        <v>50</v>
      </c>
      <c r="M7" s="454" t="s">
        <v>51</v>
      </c>
    </row>
    <row r="8" spans="1:14">
      <c r="A8" s="414"/>
      <c r="B8" s="455">
        <v>43468</v>
      </c>
      <c r="C8" s="456">
        <v>1256</v>
      </c>
      <c r="D8" s="457" t="s">
        <v>253</v>
      </c>
      <c r="E8" s="459">
        <v>100</v>
      </c>
      <c r="F8" s="459">
        <f>+E8*IVA</f>
        <v>12</v>
      </c>
      <c r="G8" s="459"/>
      <c r="H8" s="459">
        <v>50</v>
      </c>
      <c r="I8" s="459">
        <f>+H8*IVA</f>
        <v>6</v>
      </c>
      <c r="J8" s="459">
        <f>(+F8+I8)*IVA</f>
        <v>2.16</v>
      </c>
      <c r="K8" s="459">
        <f>+E8+F8+G8+H8+I8+J8</f>
        <v>170.16</v>
      </c>
      <c r="L8" s="459">
        <f>+I8*10%</f>
        <v>0.60000000000000009</v>
      </c>
      <c r="M8" s="459">
        <f>+J8*100%</f>
        <v>2.16</v>
      </c>
    </row>
    <row r="9" spans="1:14">
      <c r="A9" s="414"/>
      <c r="B9" s="455">
        <v>43468</v>
      </c>
      <c r="C9" s="456">
        <v>1257</v>
      </c>
      <c r="D9" s="457" t="s">
        <v>255</v>
      </c>
      <c r="E9" s="459">
        <v>25</v>
      </c>
      <c r="F9" s="459">
        <f t="shared" ref="F9:F32" si="0">+E9*IVA</f>
        <v>3</v>
      </c>
      <c r="G9" s="459"/>
      <c r="H9" s="459">
        <v>50</v>
      </c>
      <c r="I9" s="459">
        <f t="shared" ref="I9:I32" si="1">+H9*IVA</f>
        <v>6</v>
      </c>
      <c r="J9" s="459">
        <f t="shared" ref="J9:J32" si="2">(+F9+I9)*IVA</f>
        <v>1.08</v>
      </c>
      <c r="K9" s="459">
        <f t="shared" ref="K9:K32" si="3">+E9+F9+G9+H9+I9+J9</f>
        <v>85.08</v>
      </c>
      <c r="L9" s="459">
        <f t="shared" ref="L9:L32" si="4">+I9*10%</f>
        <v>0.60000000000000009</v>
      </c>
      <c r="M9" s="459">
        <f t="shared" ref="M9:M21" si="5">+J9*100%</f>
        <v>1.08</v>
      </c>
    </row>
    <row r="10" spans="1:14">
      <c r="A10" s="414"/>
      <c r="B10" s="455">
        <v>43469</v>
      </c>
      <c r="C10" s="456">
        <v>1258</v>
      </c>
      <c r="D10" s="457" t="s">
        <v>248</v>
      </c>
      <c r="E10" s="459">
        <v>35</v>
      </c>
      <c r="F10" s="459">
        <f t="shared" si="0"/>
        <v>4.2</v>
      </c>
      <c r="G10" s="459">
        <v>20</v>
      </c>
      <c r="H10" s="459">
        <v>50</v>
      </c>
      <c r="I10" s="459">
        <f t="shared" si="1"/>
        <v>6</v>
      </c>
      <c r="J10" s="459">
        <f t="shared" si="2"/>
        <v>1.224</v>
      </c>
      <c r="K10" s="459">
        <f t="shared" si="3"/>
        <v>116.42400000000001</v>
      </c>
      <c r="L10" s="459">
        <f t="shared" si="4"/>
        <v>0.60000000000000009</v>
      </c>
      <c r="M10" s="459">
        <f t="shared" si="5"/>
        <v>1.224</v>
      </c>
      <c r="N10" s="424"/>
    </row>
    <row r="11" spans="1:14">
      <c r="A11" s="414"/>
      <c r="B11" s="455">
        <v>43469</v>
      </c>
      <c r="C11" s="456">
        <v>1259</v>
      </c>
      <c r="D11" s="457" t="s">
        <v>460</v>
      </c>
      <c r="E11" s="459">
        <v>35</v>
      </c>
      <c r="F11" s="459">
        <f t="shared" si="0"/>
        <v>4.2</v>
      </c>
      <c r="G11" s="459"/>
      <c r="H11" s="459">
        <v>50</v>
      </c>
      <c r="I11" s="459">
        <f t="shared" si="1"/>
        <v>6</v>
      </c>
      <c r="J11" s="459">
        <f t="shared" si="2"/>
        <v>1.224</v>
      </c>
      <c r="K11" s="459">
        <f t="shared" si="3"/>
        <v>96.424000000000007</v>
      </c>
      <c r="L11" s="459">
        <f t="shared" si="4"/>
        <v>0.60000000000000009</v>
      </c>
      <c r="M11" s="459">
        <f t="shared" si="5"/>
        <v>1.224</v>
      </c>
    </row>
    <row r="12" spans="1:14">
      <c r="A12" s="414"/>
      <c r="B12" s="455">
        <v>43472</v>
      </c>
      <c r="C12" s="456">
        <v>1260</v>
      </c>
      <c r="D12" s="457" t="s">
        <v>253</v>
      </c>
      <c r="E12" s="459">
        <v>35</v>
      </c>
      <c r="F12" s="459">
        <f t="shared" si="0"/>
        <v>4.2</v>
      </c>
      <c r="G12" s="459"/>
      <c r="H12" s="459">
        <v>50</v>
      </c>
      <c r="I12" s="459">
        <f t="shared" si="1"/>
        <v>6</v>
      </c>
      <c r="J12" s="459">
        <f t="shared" si="2"/>
        <v>1.224</v>
      </c>
      <c r="K12" s="459">
        <f t="shared" si="3"/>
        <v>96.424000000000007</v>
      </c>
      <c r="L12" s="459">
        <f t="shared" si="4"/>
        <v>0.60000000000000009</v>
      </c>
      <c r="M12" s="459">
        <f t="shared" si="5"/>
        <v>1.224</v>
      </c>
    </row>
    <row r="13" spans="1:14">
      <c r="A13" s="414"/>
      <c r="B13" s="455">
        <v>43472</v>
      </c>
      <c r="C13" s="456">
        <v>1261</v>
      </c>
      <c r="D13" s="457" t="s">
        <v>227</v>
      </c>
      <c r="E13" s="459">
        <v>54</v>
      </c>
      <c r="F13" s="459">
        <f t="shared" si="0"/>
        <v>6.4799999999999995</v>
      </c>
      <c r="G13" s="459"/>
      <c r="H13" s="459">
        <v>50</v>
      </c>
      <c r="I13" s="459">
        <f t="shared" si="1"/>
        <v>6</v>
      </c>
      <c r="J13" s="459">
        <f t="shared" si="2"/>
        <v>1.4976</v>
      </c>
      <c r="K13" s="459">
        <f t="shared" si="3"/>
        <v>117.9776</v>
      </c>
      <c r="L13" s="459">
        <f t="shared" si="4"/>
        <v>0.60000000000000009</v>
      </c>
      <c r="M13" s="459">
        <f t="shared" si="5"/>
        <v>1.4976</v>
      </c>
    </row>
    <row r="14" spans="1:14">
      <c r="A14" s="414"/>
      <c r="B14" s="455">
        <v>43472</v>
      </c>
      <c r="C14" s="456">
        <v>1262</v>
      </c>
      <c r="D14" s="457" t="s">
        <v>228</v>
      </c>
      <c r="E14" s="459">
        <v>56</v>
      </c>
      <c r="F14" s="459">
        <f t="shared" si="0"/>
        <v>6.72</v>
      </c>
      <c r="G14" s="459"/>
      <c r="H14" s="459">
        <v>50</v>
      </c>
      <c r="I14" s="459">
        <f t="shared" si="1"/>
        <v>6</v>
      </c>
      <c r="J14" s="459">
        <f t="shared" si="2"/>
        <v>1.5263999999999998</v>
      </c>
      <c r="K14" s="459">
        <f t="shared" si="3"/>
        <v>120.24639999999999</v>
      </c>
      <c r="L14" s="459">
        <f t="shared" si="4"/>
        <v>0.60000000000000009</v>
      </c>
      <c r="M14" s="459">
        <f t="shared" si="5"/>
        <v>1.5263999999999998</v>
      </c>
    </row>
    <row r="15" spans="1:14">
      <c r="A15" s="414"/>
      <c r="B15" s="455">
        <v>43472</v>
      </c>
      <c r="C15" s="456">
        <v>1263</v>
      </c>
      <c r="D15" s="457" t="s">
        <v>257</v>
      </c>
      <c r="E15" s="459">
        <v>58</v>
      </c>
      <c r="F15" s="459">
        <f t="shared" si="0"/>
        <v>6.96</v>
      </c>
      <c r="G15" s="459"/>
      <c r="H15" s="459">
        <v>50</v>
      </c>
      <c r="I15" s="459">
        <f t="shared" si="1"/>
        <v>6</v>
      </c>
      <c r="J15" s="459">
        <f t="shared" si="2"/>
        <v>1.5552000000000001</v>
      </c>
      <c r="K15" s="459">
        <f t="shared" si="3"/>
        <v>122.51519999999999</v>
      </c>
      <c r="L15" s="459">
        <f t="shared" si="4"/>
        <v>0.60000000000000009</v>
      </c>
      <c r="M15" s="459">
        <f t="shared" si="5"/>
        <v>1.5552000000000001</v>
      </c>
    </row>
    <row r="16" spans="1:14">
      <c r="A16" s="414"/>
      <c r="B16" s="455">
        <v>43472</v>
      </c>
      <c r="C16" s="456">
        <v>1264</v>
      </c>
      <c r="D16" s="457" t="s">
        <v>253</v>
      </c>
      <c r="E16" s="459">
        <v>58</v>
      </c>
      <c r="F16" s="459">
        <f t="shared" si="0"/>
        <v>6.96</v>
      </c>
      <c r="G16" s="459"/>
      <c r="H16" s="459">
        <v>50</v>
      </c>
      <c r="I16" s="459">
        <f t="shared" si="1"/>
        <v>6</v>
      </c>
      <c r="J16" s="459">
        <f t="shared" si="2"/>
        <v>1.5552000000000001</v>
      </c>
      <c r="K16" s="459">
        <f t="shared" si="3"/>
        <v>122.51519999999999</v>
      </c>
      <c r="L16" s="459">
        <f t="shared" si="4"/>
        <v>0.60000000000000009</v>
      </c>
      <c r="M16" s="459">
        <f t="shared" si="5"/>
        <v>1.5552000000000001</v>
      </c>
    </row>
    <row r="17" spans="1:14">
      <c r="A17" s="414"/>
      <c r="B17" s="455">
        <v>43472</v>
      </c>
      <c r="C17" s="456">
        <v>1265</v>
      </c>
      <c r="D17" s="457" t="s">
        <v>251</v>
      </c>
      <c r="E17" s="459">
        <v>321</v>
      </c>
      <c r="F17" s="459">
        <f t="shared" si="0"/>
        <v>38.519999999999996</v>
      </c>
      <c r="G17" s="459"/>
      <c r="H17" s="459">
        <v>50</v>
      </c>
      <c r="I17" s="459">
        <f t="shared" si="1"/>
        <v>6</v>
      </c>
      <c r="J17" s="459">
        <f t="shared" si="2"/>
        <v>5.3423999999999996</v>
      </c>
      <c r="K17" s="459">
        <f t="shared" si="3"/>
        <v>420.86239999999998</v>
      </c>
      <c r="L17" s="459">
        <f t="shared" si="4"/>
        <v>0.60000000000000009</v>
      </c>
      <c r="M17" s="459">
        <f t="shared" si="5"/>
        <v>5.3423999999999996</v>
      </c>
    </row>
    <row r="18" spans="1:14">
      <c r="A18" s="414"/>
      <c r="B18" s="455">
        <v>43472</v>
      </c>
      <c r="C18" s="456">
        <v>1266</v>
      </c>
      <c r="D18" s="457" t="s">
        <v>256</v>
      </c>
      <c r="E18" s="459">
        <v>25</v>
      </c>
      <c r="F18" s="459">
        <f t="shared" si="0"/>
        <v>3</v>
      </c>
      <c r="G18" s="459"/>
      <c r="H18" s="459">
        <v>50</v>
      </c>
      <c r="I18" s="459">
        <f t="shared" si="1"/>
        <v>6</v>
      </c>
      <c r="J18" s="459">
        <f t="shared" si="2"/>
        <v>1.08</v>
      </c>
      <c r="K18" s="459">
        <f t="shared" si="3"/>
        <v>85.08</v>
      </c>
      <c r="L18" s="459">
        <f t="shared" si="4"/>
        <v>0.60000000000000009</v>
      </c>
      <c r="M18" s="459">
        <f t="shared" si="5"/>
        <v>1.08</v>
      </c>
    </row>
    <row r="19" spans="1:14">
      <c r="A19" s="414"/>
      <c r="B19" s="455">
        <v>43472</v>
      </c>
      <c r="C19" s="456">
        <v>1267</v>
      </c>
      <c r="D19" s="457" t="s">
        <v>250</v>
      </c>
      <c r="E19" s="459">
        <v>21</v>
      </c>
      <c r="F19" s="459">
        <f t="shared" si="0"/>
        <v>2.52</v>
      </c>
      <c r="G19" s="459"/>
      <c r="H19" s="459">
        <v>50</v>
      </c>
      <c r="I19" s="459">
        <f t="shared" si="1"/>
        <v>6</v>
      </c>
      <c r="J19" s="459">
        <f t="shared" si="2"/>
        <v>1.0224</v>
      </c>
      <c r="K19" s="459">
        <f t="shared" si="3"/>
        <v>80.542400000000001</v>
      </c>
      <c r="L19" s="459">
        <f t="shared" si="4"/>
        <v>0.60000000000000009</v>
      </c>
      <c r="M19" s="459">
        <f t="shared" si="5"/>
        <v>1.0224</v>
      </c>
    </row>
    <row r="20" spans="1:14">
      <c r="A20" s="414"/>
      <c r="B20" s="455">
        <v>43481</v>
      </c>
      <c r="C20" s="456">
        <v>1268</v>
      </c>
      <c r="D20" s="457" t="s">
        <v>253</v>
      </c>
      <c r="E20" s="459">
        <v>24</v>
      </c>
      <c r="F20" s="459">
        <f t="shared" si="0"/>
        <v>2.88</v>
      </c>
      <c r="G20" s="459"/>
      <c r="H20" s="459">
        <v>50</v>
      </c>
      <c r="I20" s="459">
        <f t="shared" si="1"/>
        <v>6</v>
      </c>
      <c r="J20" s="459">
        <f t="shared" si="2"/>
        <v>1.0655999999999999</v>
      </c>
      <c r="K20" s="459">
        <f t="shared" si="3"/>
        <v>83.945599999999999</v>
      </c>
      <c r="L20" s="459">
        <f t="shared" si="4"/>
        <v>0.60000000000000009</v>
      </c>
      <c r="M20" s="459">
        <f t="shared" si="5"/>
        <v>1.0655999999999999</v>
      </c>
      <c r="N20" s="425"/>
    </row>
    <row r="21" spans="1:14">
      <c r="A21" s="414"/>
      <c r="B21" s="455">
        <v>43495</v>
      </c>
      <c r="C21" s="456">
        <v>1269</v>
      </c>
      <c r="D21" s="457" t="s">
        <v>229</v>
      </c>
      <c r="E21" s="459">
        <v>60</v>
      </c>
      <c r="F21" s="459">
        <f t="shared" si="0"/>
        <v>7.1999999999999993</v>
      </c>
      <c r="G21" s="459"/>
      <c r="H21" s="459">
        <v>50</v>
      </c>
      <c r="I21" s="459">
        <f t="shared" si="1"/>
        <v>6</v>
      </c>
      <c r="J21" s="459">
        <f t="shared" si="2"/>
        <v>1.5839999999999999</v>
      </c>
      <c r="K21" s="459">
        <f t="shared" si="3"/>
        <v>124.78400000000001</v>
      </c>
      <c r="L21" s="459">
        <f t="shared" si="4"/>
        <v>0.60000000000000009</v>
      </c>
      <c r="M21" s="459">
        <f t="shared" si="5"/>
        <v>1.5839999999999999</v>
      </c>
    </row>
    <row r="22" spans="1:14">
      <c r="A22"/>
      <c r="B22"/>
      <c r="C22"/>
      <c r="D22"/>
      <c r="E22" s="459">
        <v>45</v>
      </c>
      <c r="F22" s="459">
        <f t="shared" si="0"/>
        <v>5.3999999999999995</v>
      </c>
      <c r="G22" s="459"/>
      <c r="H22" s="459">
        <v>50</v>
      </c>
      <c r="I22" s="459">
        <f t="shared" si="1"/>
        <v>6</v>
      </c>
      <c r="J22" s="459">
        <f t="shared" si="2"/>
        <v>1.3679999999999999</v>
      </c>
      <c r="K22" s="459">
        <f t="shared" si="3"/>
        <v>107.768</v>
      </c>
      <c r="L22" s="459">
        <f t="shared" si="4"/>
        <v>0.60000000000000009</v>
      </c>
      <c r="M22" s="459"/>
    </row>
    <row r="23" spans="1:14">
      <c r="A23"/>
      <c r="B23"/>
      <c r="C23"/>
      <c r="D23"/>
      <c r="E23" s="459">
        <v>45</v>
      </c>
      <c r="F23" s="459">
        <f t="shared" si="0"/>
        <v>5.3999999999999995</v>
      </c>
      <c r="G23" s="459"/>
      <c r="H23" s="459">
        <v>50</v>
      </c>
      <c r="I23" s="459">
        <f t="shared" si="1"/>
        <v>6</v>
      </c>
      <c r="J23" s="459">
        <f t="shared" si="2"/>
        <v>1.3679999999999999</v>
      </c>
      <c r="K23" s="459">
        <f t="shared" si="3"/>
        <v>107.768</v>
      </c>
      <c r="L23" s="459"/>
      <c r="M23" s="459"/>
    </row>
    <row r="24" spans="1:14">
      <c r="A24"/>
      <c r="B24"/>
      <c r="C24"/>
      <c r="D24"/>
      <c r="E24" s="459">
        <v>45</v>
      </c>
      <c r="F24" s="459">
        <f t="shared" si="0"/>
        <v>5.3999999999999995</v>
      </c>
      <c r="G24" s="459"/>
      <c r="H24" s="459">
        <v>50</v>
      </c>
      <c r="I24" s="459">
        <f t="shared" si="1"/>
        <v>6</v>
      </c>
      <c r="J24" s="459">
        <f t="shared" si="2"/>
        <v>1.3679999999999999</v>
      </c>
      <c r="K24" s="459">
        <f t="shared" si="3"/>
        <v>107.768</v>
      </c>
      <c r="L24" s="459"/>
      <c r="M24" s="459"/>
    </row>
    <row r="25" spans="1:14">
      <c r="A25"/>
      <c r="B25"/>
      <c r="C25"/>
      <c r="D25"/>
      <c r="E25" s="459">
        <v>45</v>
      </c>
      <c r="F25" s="459">
        <f t="shared" si="0"/>
        <v>5.3999999999999995</v>
      </c>
      <c r="G25" s="459"/>
      <c r="H25" s="459">
        <v>50</v>
      </c>
      <c r="I25" s="459">
        <f t="shared" si="1"/>
        <v>6</v>
      </c>
      <c r="J25" s="459">
        <f t="shared" si="2"/>
        <v>1.3679999999999999</v>
      </c>
      <c r="K25" s="459">
        <f t="shared" si="3"/>
        <v>107.768</v>
      </c>
      <c r="L25" s="459">
        <f t="shared" si="4"/>
        <v>0.60000000000000009</v>
      </c>
      <c r="M25" s="459"/>
    </row>
    <row r="26" spans="1:14">
      <c r="A26"/>
      <c r="B26"/>
      <c r="C26"/>
      <c r="D26"/>
      <c r="E26" s="459">
        <v>45</v>
      </c>
      <c r="F26" s="459">
        <f t="shared" si="0"/>
        <v>5.3999999999999995</v>
      </c>
      <c r="G26" s="459"/>
      <c r="H26" s="459">
        <v>50</v>
      </c>
      <c r="I26" s="459">
        <f t="shared" si="1"/>
        <v>6</v>
      </c>
      <c r="J26" s="459">
        <f t="shared" si="2"/>
        <v>1.3679999999999999</v>
      </c>
      <c r="K26" s="459">
        <f t="shared" si="3"/>
        <v>107.768</v>
      </c>
      <c r="L26" s="459">
        <f t="shared" si="4"/>
        <v>0.60000000000000009</v>
      </c>
      <c r="M26" s="459"/>
    </row>
    <row r="27" spans="1:14">
      <c r="A27"/>
      <c r="B27"/>
      <c r="C27"/>
      <c r="D27" s="41"/>
      <c r="E27" s="459">
        <v>58</v>
      </c>
      <c r="F27" s="459">
        <f t="shared" si="0"/>
        <v>6.96</v>
      </c>
      <c r="G27" s="459"/>
      <c r="H27" s="459">
        <v>50</v>
      </c>
      <c r="I27" s="459">
        <f t="shared" si="1"/>
        <v>6</v>
      </c>
      <c r="J27" s="459">
        <f t="shared" si="2"/>
        <v>1.5552000000000001</v>
      </c>
      <c r="K27" s="459">
        <f t="shared" si="3"/>
        <v>122.51519999999999</v>
      </c>
      <c r="L27" s="459"/>
      <c r="M27" s="459"/>
    </row>
    <row r="28" spans="1:14">
      <c r="A28"/>
      <c r="B28"/>
      <c r="C28"/>
      <c r="D28" s="41"/>
      <c r="E28" s="459">
        <v>65</v>
      </c>
      <c r="F28" s="459">
        <f t="shared" si="0"/>
        <v>7.8</v>
      </c>
      <c r="G28" s="459"/>
      <c r="H28" s="459">
        <v>50</v>
      </c>
      <c r="I28" s="459">
        <f t="shared" si="1"/>
        <v>6</v>
      </c>
      <c r="J28" s="459">
        <f t="shared" ref="J28" si="6">(+F28+I28)*IVA</f>
        <v>1.6559999999999999</v>
      </c>
      <c r="K28" s="459">
        <f t="shared" ref="K28" si="7">+E28+F28+G28+H28+I28+J28</f>
        <v>130.45600000000002</v>
      </c>
      <c r="L28" s="459"/>
      <c r="M28" s="459"/>
    </row>
    <row r="29" spans="1:14">
      <c r="A29"/>
      <c r="B29"/>
      <c r="C29"/>
      <c r="D29" s="41"/>
      <c r="E29" s="459">
        <v>14</v>
      </c>
      <c r="F29" s="459">
        <f t="shared" si="0"/>
        <v>1.68</v>
      </c>
      <c r="G29" s="459"/>
      <c r="H29" s="459">
        <v>50</v>
      </c>
      <c r="I29" s="459">
        <f t="shared" si="1"/>
        <v>6</v>
      </c>
      <c r="J29" s="459">
        <f t="shared" ref="J29" si="8">(+F29+I29)*IVA</f>
        <v>0.92159999999999997</v>
      </c>
      <c r="K29" s="459">
        <f t="shared" ref="K29" si="9">+E29+F29+G29+H29+I29+J29</f>
        <v>72.601600000000005</v>
      </c>
      <c r="L29" s="459"/>
      <c r="M29" s="459"/>
    </row>
    <row r="30" spans="1:14">
      <c r="A30"/>
      <c r="B30"/>
      <c r="C30"/>
      <c r="D30" s="41"/>
      <c r="E30" s="459">
        <v>15</v>
      </c>
      <c r="F30" s="459">
        <f t="shared" si="0"/>
        <v>1.7999999999999998</v>
      </c>
      <c r="G30" s="459"/>
      <c r="H30" s="459">
        <v>50</v>
      </c>
      <c r="I30" s="459">
        <f t="shared" si="1"/>
        <v>6</v>
      </c>
      <c r="J30" s="459">
        <f t="shared" ref="J30" si="10">(+F30+I30)*IVA</f>
        <v>0.93599999999999994</v>
      </c>
      <c r="K30" s="459">
        <f t="shared" ref="K30" si="11">+E30+F30+G30+H30+I30+J30</f>
        <v>73.73599999999999</v>
      </c>
      <c r="L30" s="459"/>
      <c r="M30" s="459"/>
    </row>
    <row r="31" spans="1:14">
      <c r="A31"/>
      <c r="B31"/>
      <c r="C31"/>
      <c r="D31"/>
      <c r="E31" s="459">
        <v>45</v>
      </c>
      <c r="F31" s="459">
        <f t="shared" si="0"/>
        <v>5.3999999999999995</v>
      </c>
      <c r="G31" s="459"/>
      <c r="H31" s="459">
        <v>50</v>
      </c>
      <c r="I31" s="459">
        <f t="shared" si="1"/>
        <v>6</v>
      </c>
      <c r="J31" s="459">
        <f t="shared" si="2"/>
        <v>1.3679999999999999</v>
      </c>
      <c r="K31" s="459">
        <f t="shared" si="3"/>
        <v>107.768</v>
      </c>
      <c r="L31" s="459">
        <f t="shared" si="4"/>
        <v>0.60000000000000009</v>
      </c>
      <c r="M31" s="459"/>
    </row>
    <row r="32" spans="1:14" ht="15.75" thickBot="1">
      <c r="A32"/>
      <c r="B32"/>
      <c r="C32"/>
      <c r="D32"/>
      <c r="E32" s="460">
        <v>50</v>
      </c>
      <c r="F32" s="460">
        <f t="shared" si="0"/>
        <v>6</v>
      </c>
      <c r="G32" s="460"/>
      <c r="H32" s="460">
        <v>50</v>
      </c>
      <c r="I32" s="460">
        <f t="shared" si="1"/>
        <v>6</v>
      </c>
      <c r="J32" s="460">
        <f t="shared" si="2"/>
        <v>1.44</v>
      </c>
      <c r="K32" s="460">
        <f t="shared" si="3"/>
        <v>113.44</v>
      </c>
      <c r="L32" s="460">
        <f t="shared" si="4"/>
        <v>0.60000000000000009</v>
      </c>
      <c r="M32" s="460"/>
    </row>
    <row r="33" spans="1:13" ht="15.75" thickBot="1">
      <c r="A33"/>
      <c r="B33"/>
      <c r="C33"/>
      <c r="D33"/>
      <c r="E33" s="458">
        <f>SUM(E8:E32)</f>
        <v>1379</v>
      </c>
      <c r="F33" s="458">
        <f>SUM(F8:F32)</f>
        <v>165.48000000000005</v>
      </c>
      <c r="G33" s="458">
        <f>SUM(G8:G32)</f>
        <v>20</v>
      </c>
      <c r="H33" s="458">
        <f>SUM(H8:H32)</f>
        <v>1250</v>
      </c>
      <c r="I33" s="458">
        <f>SUM(I8:I32)</f>
        <v>150</v>
      </c>
      <c r="J33" s="458">
        <f>SUM(J8:J32)</f>
        <v>37.857599999999984</v>
      </c>
      <c r="K33" s="458">
        <f>SUM(K8:K32)</f>
        <v>3002.3375999999998</v>
      </c>
      <c r="L33" s="458">
        <f>SUM(L8:L32)</f>
        <v>11.399999999999997</v>
      </c>
      <c r="M33" s="458">
        <f>SUM(M8:M32)</f>
        <v>23.140799999999995</v>
      </c>
    </row>
    <row r="34" spans="1:13">
      <c r="A34"/>
      <c r="B34"/>
      <c r="C34" s="414"/>
      <c r="D34" s="414"/>
      <c r="E34" s="415"/>
      <c r="F34" s="415"/>
      <c r="G34" s="415"/>
      <c r="H34" s="414"/>
      <c r="I34" s="414"/>
      <c r="J34" s="414"/>
    </row>
    <row r="35" spans="1:13">
      <c r="A35"/>
      <c r="B35"/>
      <c r="C35" s="414"/>
      <c r="D35" s="414"/>
      <c r="E35" s="414"/>
      <c r="F35" s="414"/>
      <c r="G35" s="414"/>
      <c r="H35" s="414"/>
      <c r="I35" s="414"/>
      <c r="J35" s="421"/>
    </row>
    <row r="36" spans="1:13" ht="15.75" thickBot="1">
      <c r="A36"/>
      <c r="B36"/>
      <c r="C36" s="421"/>
      <c r="D36" s="421"/>
      <c r="E36" s="421"/>
      <c r="F36" s="421"/>
      <c r="G36" s="421"/>
      <c r="H36" s="421"/>
      <c r="I36" s="421"/>
      <c r="J36" s="415"/>
    </row>
    <row r="37" spans="1:13" ht="34.5" customHeight="1" thickTop="1" thickBot="1">
      <c r="A37"/>
      <c r="B37"/>
      <c r="C37" s="423" t="s">
        <v>2</v>
      </c>
      <c r="D37" s="423" t="s">
        <v>3</v>
      </c>
      <c r="E37" s="423" t="s">
        <v>463</v>
      </c>
      <c r="F37" s="423" t="s">
        <v>348</v>
      </c>
      <c r="G37" s="423" t="s">
        <v>7</v>
      </c>
      <c r="H37" s="423" t="s">
        <v>8</v>
      </c>
      <c r="I37" s="423" t="s">
        <v>4</v>
      </c>
      <c r="J37" s="423" t="s">
        <v>5</v>
      </c>
      <c r="K37" s="415"/>
    </row>
    <row r="38" spans="1:13" ht="15.75" thickTop="1">
      <c r="A38"/>
      <c r="B38"/>
      <c r="C38" s="427">
        <v>37770</v>
      </c>
      <c r="D38" s="414" t="s">
        <v>274</v>
      </c>
      <c r="E38" s="414" t="s">
        <v>464</v>
      </c>
      <c r="F38" s="428">
        <v>45</v>
      </c>
      <c r="G38" s="428"/>
      <c r="H38" s="428">
        <v>9.82</v>
      </c>
      <c r="I38" s="428">
        <f>+H38*0.12</f>
        <v>1.1783999999999999</v>
      </c>
      <c r="J38" s="428">
        <f t="shared" ref="J38:J42" si="12">SUM(F38:I38)</f>
        <v>55.998400000000004</v>
      </c>
    </row>
    <row r="39" spans="1:13">
      <c r="A39"/>
      <c r="B39"/>
      <c r="C39" s="431">
        <v>928302</v>
      </c>
      <c r="D39" s="432" t="s">
        <v>275</v>
      </c>
      <c r="E39" s="432"/>
      <c r="F39" s="428"/>
      <c r="G39" s="428"/>
      <c r="H39" s="428">
        <v>44.2</v>
      </c>
      <c r="I39" s="428">
        <f t="shared" ref="H39:I44" si="13">+H39*0.12</f>
        <v>5.3040000000000003</v>
      </c>
      <c r="J39" s="428">
        <f t="shared" si="12"/>
        <v>49.504000000000005</v>
      </c>
      <c r="L39" s="415"/>
    </row>
    <row r="40" spans="1:13">
      <c r="A40"/>
      <c r="B40"/>
      <c r="C40" s="431">
        <v>47967</v>
      </c>
      <c r="D40" s="432" t="s">
        <v>254</v>
      </c>
      <c r="E40" s="432"/>
      <c r="F40" s="428"/>
      <c r="G40" s="428"/>
      <c r="H40" s="428">
        <v>87</v>
      </c>
      <c r="I40" s="428">
        <f t="shared" si="13"/>
        <v>10.44</v>
      </c>
      <c r="J40" s="428">
        <f t="shared" si="12"/>
        <v>97.44</v>
      </c>
      <c r="L40" s="415"/>
    </row>
    <row r="41" spans="1:13">
      <c r="A41"/>
      <c r="B41"/>
      <c r="C41" s="431">
        <v>52464938</v>
      </c>
      <c r="D41" s="432" t="s">
        <v>249</v>
      </c>
      <c r="E41" s="432"/>
      <c r="F41" s="428"/>
      <c r="G41" s="428">
        <v>0</v>
      </c>
      <c r="H41" s="428">
        <v>10</v>
      </c>
      <c r="I41" s="428">
        <f t="shared" si="13"/>
        <v>1.2</v>
      </c>
      <c r="J41" s="428">
        <f t="shared" si="12"/>
        <v>11.2</v>
      </c>
      <c r="L41" s="415"/>
    </row>
    <row r="42" spans="1:13">
      <c r="A42"/>
      <c r="B42"/>
      <c r="C42" s="431" t="s">
        <v>276</v>
      </c>
      <c r="D42" s="432" t="s">
        <v>252</v>
      </c>
      <c r="E42" s="432"/>
      <c r="F42" s="428"/>
      <c r="G42" s="428"/>
      <c r="H42" s="428">
        <v>500</v>
      </c>
      <c r="I42" s="428">
        <f t="shared" si="13"/>
        <v>60</v>
      </c>
      <c r="J42" s="428">
        <f t="shared" si="12"/>
        <v>560</v>
      </c>
      <c r="L42" s="415"/>
    </row>
    <row r="43" spans="1:13">
      <c r="A43"/>
      <c r="B43"/>
      <c r="C43" s="431"/>
      <c r="D43" s="432"/>
      <c r="E43" s="428"/>
      <c r="F43" s="428"/>
      <c r="G43" s="428"/>
      <c r="I43" s="428">
        <f>+G43*0.12</f>
        <v>0</v>
      </c>
      <c r="J43" s="428">
        <f>SUM(F43:I43)</f>
        <v>0</v>
      </c>
    </row>
    <row r="44" spans="1:13">
      <c r="A44"/>
      <c r="B44"/>
      <c r="C44" s="431"/>
      <c r="D44" s="432"/>
      <c r="E44" s="428"/>
      <c r="F44" s="428"/>
      <c r="G44" s="428"/>
      <c r="I44" s="428">
        <f>+G44*0.12</f>
        <v>0</v>
      </c>
      <c r="J44" s="428">
        <f>SUM(F44:I44)</f>
        <v>0</v>
      </c>
    </row>
    <row r="45" spans="1:13" ht="15.75" thickBot="1">
      <c r="A45"/>
      <c r="B45"/>
      <c r="C45" s="429"/>
      <c r="D45" s="413"/>
      <c r="E45" s="434">
        <f>SUM(E38:E44)</f>
        <v>0</v>
      </c>
      <c r="F45" s="434">
        <f>SUM(F38:F44)</f>
        <v>45</v>
      </c>
      <c r="G45" s="434">
        <f>SUM(G38:G44)</f>
        <v>0</v>
      </c>
      <c r="H45" s="434">
        <f>SUM(H38:H44)</f>
        <v>651.02</v>
      </c>
      <c r="I45" s="434">
        <f>SUM(H38:H44)</f>
        <v>651.02</v>
      </c>
      <c r="J45" s="434">
        <f>SUM(I38:I44)</f>
        <v>78.122399999999999</v>
      </c>
    </row>
    <row r="46" spans="1:13">
      <c r="A46"/>
      <c r="B46"/>
      <c r="C46" s="429"/>
      <c r="D46" s="413"/>
      <c r="E46" s="435"/>
      <c r="F46" s="435"/>
      <c r="G46" s="435"/>
      <c r="H46" s="435"/>
      <c r="I46" s="435"/>
      <c r="J46" s="435"/>
    </row>
    <row r="47" spans="1:13">
      <c r="A47"/>
      <c r="B47"/>
      <c r="C47" s="413"/>
      <c r="D47" s="413"/>
      <c r="E47" s="435"/>
      <c r="F47" s="435"/>
      <c r="G47" s="435"/>
      <c r="H47" s="435"/>
      <c r="I47" s="435"/>
      <c r="J47" s="435"/>
    </row>
    <row r="48" spans="1:13">
      <c r="A48"/>
      <c r="B48"/>
    </row>
    <row r="49" spans="1:14">
      <c r="A49"/>
      <c r="B49"/>
      <c r="C49" s="414"/>
      <c r="D49" s="414" t="s">
        <v>78</v>
      </c>
      <c r="G49" s="436">
        <v>41550</v>
      </c>
      <c r="H49" s="411">
        <v>0.12</v>
      </c>
      <c r="I49" s="415">
        <f>+G49*IVA</f>
        <v>4986</v>
      </c>
      <c r="J49" s="414"/>
    </row>
    <row r="50" spans="1:14">
      <c r="A50"/>
      <c r="B50"/>
      <c r="C50" s="414"/>
      <c r="D50" s="414" t="s">
        <v>42</v>
      </c>
      <c r="G50" s="436">
        <f>+H33</f>
        <v>1250</v>
      </c>
      <c r="H50" s="453">
        <v>0</v>
      </c>
      <c r="I50" s="415">
        <f>G50</f>
        <v>1250</v>
      </c>
      <c r="J50" s="414"/>
    </row>
    <row r="51" spans="1:14">
      <c r="A51"/>
      <c r="B51"/>
      <c r="C51" s="414"/>
      <c r="D51" s="414" t="s">
        <v>461</v>
      </c>
      <c r="G51" s="436">
        <f>F33</f>
        <v>165.48000000000005</v>
      </c>
      <c r="H51" s="411">
        <v>0.12</v>
      </c>
      <c r="I51" s="415">
        <f>G51*IVA</f>
        <v>19.857600000000005</v>
      </c>
      <c r="J51" s="414"/>
    </row>
    <row r="52" spans="1:14">
      <c r="A52"/>
      <c r="B52"/>
      <c r="C52" s="414"/>
      <c r="D52" s="414" t="s">
        <v>462</v>
      </c>
      <c r="G52" s="436">
        <f>E33</f>
        <v>1379</v>
      </c>
      <c r="H52" s="453">
        <v>0</v>
      </c>
      <c r="I52" s="415"/>
      <c r="J52" s="414"/>
    </row>
    <row r="53" spans="1:14">
      <c r="A53"/>
      <c r="B53"/>
      <c r="C53" s="414"/>
      <c r="D53" s="414" t="s">
        <v>54</v>
      </c>
      <c r="G53" s="436">
        <f>G33</f>
        <v>20</v>
      </c>
      <c r="H53" s="412"/>
      <c r="I53" s="415"/>
      <c r="J53" s="414"/>
    </row>
    <row r="54" spans="1:14">
      <c r="A54"/>
      <c r="B54"/>
      <c r="C54" s="414"/>
      <c r="D54" s="414"/>
      <c r="G54" s="437"/>
      <c r="H54" s="453"/>
      <c r="I54" s="438"/>
      <c r="J54" s="414"/>
    </row>
    <row r="55" spans="1:14">
      <c r="A55"/>
      <c r="B55"/>
      <c r="C55" s="414"/>
      <c r="D55" s="413" t="s">
        <v>73</v>
      </c>
      <c r="E55" s="439"/>
      <c r="F55" s="439"/>
      <c r="G55" s="440">
        <f>SUM(G49:G54)</f>
        <v>44364.480000000003</v>
      </c>
      <c r="H55" s="441"/>
      <c r="I55" s="441">
        <f>SUM(I49:I54)</f>
        <v>6255.8576000000003</v>
      </c>
      <c r="J55" s="414"/>
    </row>
    <row r="56" spans="1:14">
      <c r="A56" s="414"/>
      <c r="B56" s="414"/>
      <c r="C56" s="414"/>
      <c r="D56" s="413"/>
      <c r="E56" s="439"/>
      <c r="F56" s="439"/>
      <c r="G56" s="440"/>
      <c r="H56" s="441"/>
      <c r="I56" s="441"/>
      <c r="J56" s="414"/>
    </row>
    <row r="57" spans="1:14">
      <c r="A57" s="413" t="s">
        <v>6</v>
      </c>
      <c r="B57" s="413"/>
      <c r="C57" s="414"/>
      <c r="D57" s="442" t="s">
        <v>222</v>
      </c>
      <c r="E57" s="443"/>
      <c r="F57" s="443"/>
      <c r="G57" s="444">
        <f>+G49/G55</f>
        <v>0.93656005885789706</v>
      </c>
      <c r="H57" s="414"/>
      <c r="I57" s="415"/>
      <c r="J57" s="414"/>
    </row>
    <row r="58" spans="1:14" ht="15.75" thickBot="1">
      <c r="A58" s="414"/>
      <c r="B58" s="414"/>
      <c r="C58" s="414"/>
      <c r="D58" s="413"/>
      <c r="G58" s="436"/>
      <c r="H58" s="414"/>
      <c r="J58" s="415"/>
    </row>
    <row r="59" spans="1:14" ht="47.25" customHeight="1" thickTop="1" thickBot="1">
      <c r="A59" s="414" t="s">
        <v>1</v>
      </c>
      <c r="B59" s="423" t="s">
        <v>231</v>
      </c>
      <c r="C59" s="414"/>
      <c r="D59" s="414" t="s">
        <v>10</v>
      </c>
      <c r="G59" s="436">
        <f>+G45</f>
        <v>0</v>
      </c>
      <c r="H59" s="412"/>
      <c r="I59" s="415"/>
      <c r="J59" s="414"/>
    </row>
    <row r="60" spans="1:14" ht="15.75" thickTop="1">
      <c r="A60" s="414"/>
      <c r="B60" s="426">
        <v>43490</v>
      </c>
      <c r="C60" s="414"/>
      <c r="D60" s="414" t="s">
        <v>11</v>
      </c>
      <c r="G60" s="437">
        <f>+H45</f>
        <v>651.02</v>
      </c>
      <c r="H60" s="411">
        <v>0.12</v>
      </c>
      <c r="I60" s="438">
        <f>+H60*G60</f>
        <v>78.122399999999999</v>
      </c>
      <c r="J60" s="414"/>
      <c r="N60" s="430"/>
    </row>
    <row r="61" spans="1:14">
      <c r="A61" s="414"/>
      <c r="B61" s="426">
        <v>43493</v>
      </c>
      <c r="C61" s="414"/>
      <c r="D61" s="413" t="s">
        <v>72</v>
      </c>
      <c r="E61" s="439"/>
      <c r="F61" s="439"/>
      <c r="G61" s="440">
        <f>SUM(G59:G60)</f>
        <v>651.02</v>
      </c>
      <c r="H61" s="441"/>
      <c r="I61" s="441">
        <f>SUM(I59:I60)</f>
        <v>78.122399999999999</v>
      </c>
      <c r="J61" s="414"/>
      <c r="N61" s="433"/>
    </row>
    <row r="62" spans="1:14">
      <c r="A62" s="414"/>
      <c r="B62" s="426">
        <v>43473</v>
      </c>
      <c r="C62" s="414"/>
      <c r="D62" s="413" t="s">
        <v>223</v>
      </c>
      <c r="E62" s="439"/>
      <c r="F62" s="439"/>
      <c r="G62" s="440"/>
      <c r="H62" s="441"/>
      <c r="I62" s="441">
        <f>+I61*G57</f>
        <v>73.166319542120178</v>
      </c>
      <c r="J62" s="414"/>
    </row>
    <row r="63" spans="1:14">
      <c r="A63" s="414"/>
      <c r="B63" s="426">
        <v>43467</v>
      </c>
      <c r="C63" s="414"/>
      <c r="D63" s="414"/>
      <c r="G63" s="436"/>
      <c r="H63" s="414"/>
      <c r="I63" s="415"/>
      <c r="J63" s="414"/>
    </row>
    <row r="64" spans="1:14">
      <c r="A64" s="414"/>
      <c r="B64" s="426">
        <v>43496</v>
      </c>
      <c r="C64" s="414"/>
      <c r="D64" s="445" t="s">
        <v>70</v>
      </c>
      <c r="G64" s="436"/>
      <c r="H64" s="414"/>
      <c r="I64" s="446">
        <f>+I55-I62</f>
        <v>6182.6912804578797</v>
      </c>
      <c r="J64" s="414"/>
    </row>
    <row r="65" spans="1:11">
      <c r="A65" s="414"/>
      <c r="B65" s="426"/>
      <c r="C65" s="414"/>
      <c r="D65" s="414"/>
      <c r="G65" s="414"/>
      <c r="H65" s="414"/>
      <c r="I65" s="415"/>
      <c r="J65" s="414"/>
    </row>
    <row r="66" spans="1:11">
      <c r="A66" s="414"/>
      <c r="B66" s="426"/>
      <c r="C66" s="414"/>
      <c r="D66" s="414" t="s">
        <v>13</v>
      </c>
      <c r="G66" s="414"/>
      <c r="H66" s="414"/>
      <c r="I66" s="415">
        <f>-M33</f>
        <v>-23.140799999999995</v>
      </c>
      <c r="J66" s="414"/>
    </row>
    <row r="67" spans="1:11">
      <c r="A67" s="413"/>
      <c r="B67" s="413"/>
      <c r="C67" s="414"/>
      <c r="D67" s="414"/>
      <c r="G67" s="414"/>
      <c r="H67" s="414"/>
      <c r="I67" s="415"/>
      <c r="J67" s="414"/>
    </row>
    <row r="68" spans="1:11">
      <c r="A68" s="413"/>
      <c r="B68" s="413"/>
      <c r="C68" s="414"/>
      <c r="D68" s="445" t="s">
        <v>12</v>
      </c>
      <c r="G68" s="414"/>
      <c r="H68" s="414"/>
      <c r="I68" s="446">
        <f>+I64+I66</f>
        <v>6159.5504804578795</v>
      </c>
      <c r="J68" s="414"/>
    </row>
    <row r="69" spans="1:11">
      <c r="A69" s="413"/>
      <c r="B69" s="413"/>
      <c r="D69" s="414"/>
      <c r="G69" s="414"/>
      <c r="H69" s="414"/>
      <c r="I69" s="415"/>
      <c r="J69" s="414"/>
    </row>
    <row r="70" spans="1:11" ht="15.75">
      <c r="D70" s="447" t="s">
        <v>74</v>
      </c>
      <c r="E70" s="448" t="s">
        <v>75</v>
      </c>
      <c r="F70" s="448"/>
      <c r="G70" s="449">
        <v>605</v>
      </c>
      <c r="I70" s="395">
        <f>+'[1]SUST DICIEMB'!$H$57</f>
        <v>-597.78741413607861</v>
      </c>
      <c r="J70" s="414"/>
    </row>
    <row r="71" spans="1:11" ht="15.75">
      <c r="A71" s="414"/>
      <c r="B71" s="414"/>
      <c r="D71" s="447" t="s">
        <v>74</v>
      </c>
      <c r="E71" s="448" t="s">
        <v>76</v>
      </c>
      <c r="F71" s="448"/>
      <c r="G71" s="449">
        <v>606</v>
      </c>
      <c r="I71" s="395">
        <f>+'[1]SUST DICIEMB'!$H$58</f>
        <v>-966.52120731551304</v>
      </c>
      <c r="J71" s="414"/>
    </row>
    <row r="72" spans="1:11" ht="15.75">
      <c r="A72" s="414"/>
      <c r="B72" s="414"/>
      <c r="D72" s="447"/>
      <c r="G72" s="449"/>
      <c r="I72" s="450"/>
      <c r="K72" s="451"/>
    </row>
    <row r="73" spans="1:11" ht="15.75">
      <c r="A73" s="414"/>
      <c r="B73" s="414"/>
      <c r="D73" s="447"/>
      <c r="G73" s="449"/>
      <c r="I73" s="450"/>
      <c r="J73" s="414"/>
    </row>
    <row r="74" spans="1:11" ht="15.75">
      <c r="A74" s="414"/>
      <c r="B74" s="414"/>
      <c r="D74" s="447" t="s">
        <v>77</v>
      </c>
      <c r="G74" s="449">
        <v>615</v>
      </c>
      <c r="I74" s="450">
        <f>+I64+I70</f>
        <v>5584.9038663218007</v>
      </c>
    </row>
    <row r="75" spans="1:11" ht="15.75">
      <c r="A75" s="414"/>
      <c r="B75" s="414"/>
      <c r="D75" s="447" t="s">
        <v>77</v>
      </c>
      <c r="G75" s="449">
        <v>617</v>
      </c>
      <c r="I75" s="452">
        <f>+I66+I71</f>
        <v>-989.66200731551305</v>
      </c>
    </row>
    <row r="76" spans="1:11">
      <c r="A76" s="414"/>
      <c r="B76" s="414"/>
    </row>
    <row r="77" spans="1:11">
      <c r="A77" s="414"/>
      <c r="B77" s="414"/>
    </row>
    <row r="78" spans="1:11">
      <c r="A78" s="414"/>
      <c r="B78" s="414"/>
    </row>
    <row r="79" spans="1:11">
      <c r="A79" s="414"/>
      <c r="B79" s="414"/>
    </row>
    <row r="80" spans="1:11">
      <c r="A80" s="414"/>
      <c r="B80" s="414"/>
    </row>
    <row r="81" spans="1:2">
      <c r="A81" s="414"/>
      <c r="B81" s="414"/>
    </row>
    <row r="82" spans="1:2">
      <c r="A82" s="414"/>
      <c r="B82" s="414"/>
    </row>
    <row r="83" spans="1:2">
      <c r="A83" s="414"/>
      <c r="B83" s="414"/>
    </row>
    <row r="84" spans="1:2">
      <c r="A84" s="414"/>
      <c r="B84" s="414"/>
    </row>
    <row r="85" spans="1:2">
      <c r="A85" s="414"/>
      <c r="B85" s="414"/>
    </row>
    <row r="86" spans="1:2">
      <c r="A86" s="414"/>
      <c r="B86" s="414"/>
    </row>
    <row r="87" spans="1:2">
      <c r="A87" s="414"/>
      <c r="B87" s="414"/>
    </row>
    <row r="88" spans="1:2">
      <c r="A88" s="414"/>
      <c r="B88" s="414"/>
    </row>
    <row r="89" spans="1:2">
      <c r="A89" s="414"/>
      <c r="B89" s="414"/>
    </row>
    <row r="90" spans="1:2">
      <c r="A90" s="414"/>
      <c r="B90" s="414"/>
    </row>
  </sheetData>
  <pageMargins left="0.19685039370078741" right="0.19685039370078741" top="0.19685039370078741" bottom="0.19685039370078741" header="0.31496062992125984" footer="0.31496062992125984"/>
  <pageSetup paperSize="9" scale="8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7" tint="0.39997558519241921"/>
    <pageSetUpPr fitToPage="1"/>
  </sheetPr>
  <dimension ref="A1:L64"/>
  <sheetViews>
    <sheetView topLeftCell="A22" zoomScaleNormal="100" workbookViewId="0">
      <selection activeCell="C19" sqref="C19"/>
    </sheetView>
  </sheetViews>
  <sheetFormatPr baseColWidth="10" defaultRowHeight="15"/>
  <cols>
    <col min="1" max="1" width="8.140625" customWidth="1"/>
    <col min="2" max="2" width="16.140625" customWidth="1"/>
    <col min="3" max="3" width="39.28515625" bestFit="1" customWidth="1"/>
    <col min="4" max="4" width="12.5703125" bestFit="1" customWidth="1"/>
    <col min="10" max="10" width="14" customWidth="1"/>
  </cols>
  <sheetData>
    <row r="1" spans="1:12">
      <c r="A1" s="2"/>
      <c r="B1" s="1"/>
      <c r="C1" s="1"/>
      <c r="D1" s="1"/>
      <c r="E1" s="4"/>
      <c r="F1" s="4"/>
      <c r="G1" s="4"/>
      <c r="H1" s="4"/>
      <c r="I1" s="4"/>
    </row>
    <row r="2" spans="1:12" ht="15.75" thickBot="1">
      <c r="A2" s="2" t="s">
        <v>71</v>
      </c>
      <c r="B2" s="1"/>
      <c r="C2" s="1"/>
      <c r="D2" s="1"/>
      <c r="E2" s="4"/>
      <c r="F2" s="4"/>
      <c r="G2" s="4"/>
      <c r="H2" s="4"/>
      <c r="I2" s="4"/>
    </row>
    <row r="3" spans="1:12" ht="15.75" thickBot="1">
      <c r="A3" s="268" t="s">
        <v>271</v>
      </c>
      <c r="B3" s="269"/>
      <c r="C3" s="1"/>
      <c r="D3" s="1"/>
      <c r="E3" s="1"/>
      <c r="F3" s="1"/>
      <c r="G3" s="1"/>
      <c r="H3" s="1"/>
      <c r="I3" s="1"/>
    </row>
    <row r="4" spans="1:12">
      <c r="A4" s="6"/>
      <c r="B4" s="1"/>
      <c r="C4" s="1"/>
      <c r="D4" s="1"/>
      <c r="E4" s="1"/>
      <c r="F4" s="1"/>
      <c r="G4" s="1"/>
      <c r="H4" s="1"/>
      <c r="I4" s="1"/>
    </row>
    <row r="5" spans="1:12">
      <c r="A5" s="2" t="s">
        <v>0</v>
      </c>
      <c r="B5" s="1"/>
      <c r="C5" s="1"/>
      <c r="D5" s="1"/>
      <c r="E5" s="1"/>
      <c r="F5" s="1"/>
      <c r="G5" s="1"/>
      <c r="H5" s="1"/>
      <c r="I5" s="1"/>
    </row>
    <row r="6" spans="1:12" ht="15.75" thickBot="1">
      <c r="A6" s="1"/>
      <c r="B6" s="3"/>
      <c r="C6" s="3"/>
      <c r="D6" s="3"/>
      <c r="E6" s="12"/>
      <c r="F6" s="12"/>
      <c r="G6" s="12"/>
      <c r="H6" s="12"/>
      <c r="I6" s="12"/>
    </row>
    <row r="7" spans="1:12" ht="25.5" thickTop="1" thickBot="1">
      <c r="A7" s="1" t="s">
        <v>1</v>
      </c>
      <c r="B7" s="38" t="s">
        <v>2</v>
      </c>
      <c r="C7" s="38" t="s">
        <v>3</v>
      </c>
      <c r="D7" s="38" t="s">
        <v>54</v>
      </c>
      <c r="E7" s="38" t="s">
        <v>52</v>
      </c>
      <c r="F7" s="38" t="s">
        <v>49</v>
      </c>
      <c r="G7" s="38" t="s">
        <v>4</v>
      </c>
      <c r="H7" s="38" t="s">
        <v>9</v>
      </c>
      <c r="I7" s="38" t="s">
        <v>50</v>
      </c>
      <c r="J7" s="38" t="s">
        <v>51</v>
      </c>
    </row>
    <row r="8" spans="1:12" ht="15.75" thickTop="1">
      <c r="A8" s="1"/>
      <c r="B8" s="1">
        <v>1377</v>
      </c>
      <c r="C8" s="1" t="s">
        <v>323</v>
      </c>
      <c r="D8" s="1"/>
      <c r="E8" s="1"/>
      <c r="F8" s="11">
        <v>0</v>
      </c>
      <c r="G8" s="11">
        <f>+F8*0.12</f>
        <v>0</v>
      </c>
      <c r="H8" s="11">
        <f>+D8+E8+F8+G8</f>
        <v>0</v>
      </c>
      <c r="I8" s="11">
        <f>+F8*0.1</f>
        <v>0</v>
      </c>
      <c r="J8" s="11">
        <f>+G8*100%</f>
        <v>0</v>
      </c>
    </row>
    <row r="9" spans="1:12">
      <c r="A9" s="1"/>
      <c r="B9" s="1">
        <v>1378</v>
      </c>
      <c r="C9" s="1" t="s">
        <v>252</v>
      </c>
      <c r="D9" s="1"/>
      <c r="E9" s="1"/>
      <c r="F9" s="11">
        <v>1320</v>
      </c>
      <c r="G9" s="11">
        <f t="shared" ref="G9:G21" si="0">+F9*0.12</f>
        <v>158.4</v>
      </c>
      <c r="H9" s="11">
        <f t="shared" ref="H9:H10" si="1">+D9+E9+F9+G9</f>
        <v>1478.4</v>
      </c>
      <c r="I9" s="11">
        <f>+F9*10%</f>
        <v>132</v>
      </c>
      <c r="J9" s="11">
        <f>+G9</f>
        <v>158.4</v>
      </c>
      <c r="L9" s="15"/>
    </row>
    <row r="10" spans="1:12">
      <c r="A10" s="1"/>
      <c r="B10" s="1">
        <v>1379</v>
      </c>
      <c r="C10" s="1" t="s">
        <v>227</v>
      </c>
      <c r="D10" s="1"/>
      <c r="E10" s="1"/>
      <c r="F10" s="11">
        <v>354.44</v>
      </c>
      <c r="G10" s="11">
        <f t="shared" si="0"/>
        <v>42.532799999999995</v>
      </c>
      <c r="H10" s="11">
        <f t="shared" si="1"/>
        <v>396.97280000000001</v>
      </c>
      <c r="I10" s="11">
        <f>+F10*10%</f>
        <v>35.444000000000003</v>
      </c>
      <c r="J10" s="11">
        <f>+G10</f>
        <v>42.532799999999995</v>
      </c>
    </row>
    <row r="11" spans="1:12">
      <c r="A11" s="1"/>
      <c r="B11" s="1">
        <v>1380</v>
      </c>
      <c r="C11" s="1" t="s">
        <v>326</v>
      </c>
      <c r="D11" s="1"/>
      <c r="E11" s="1"/>
      <c r="F11" s="11">
        <v>491.99</v>
      </c>
      <c r="G11" s="11">
        <f t="shared" si="0"/>
        <v>59.038800000000002</v>
      </c>
      <c r="H11" s="11">
        <f t="shared" ref="H11:H21" si="2">+D11+E11+F11+G11</f>
        <v>551.02880000000005</v>
      </c>
      <c r="I11" s="11">
        <f>+F11*8%</f>
        <v>39.359200000000001</v>
      </c>
      <c r="J11" s="11">
        <f>+G11</f>
        <v>59.038800000000002</v>
      </c>
    </row>
    <row r="12" spans="1:12">
      <c r="A12" s="1"/>
      <c r="B12" s="1">
        <v>1381</v>
      </c>
      <c r="C12" s="1" t="s">
        <v>286</v>
      </c>
      <c r="D12" s="1"/>
      <c r="E12" s="11"/>
      <c r="F12" s="11">
        <v>200</v>
      </c>
      <c r="G12" s="11">
        <f t="shared" si="0"/>
        <v>24</v>
      </c>
      <c r="H12" s="11">
        <f t="shared" si="2"/>
        <v>224</v>
      </c>
      <c r="I12" s="11">
        <v>0</v>
      </c>
      <c r="J12" s="11">
        <v>0</v>
      </c>
    </row>
    <row r="13" spans="1:12">
      <c r="A13" s="1"/>
      <c r="B13" s="1">
        <v>1382</v>
      </c>
      <c r="C13" s="1" t="s">
        <v>287</v>
      </c>
      <c r="D13" s="1"/>
      <c r="E13" s="11"/>
      <c r="F13" s="11">
        <v>100</v>
      </c>
      <c r="G13" s="11">
        <f t="shared" si="0"/>
        <v>12</v>
      </c>
      <c r="H13" s="11">
        <f t="shared" si="2"/>
        <v>112</v>
      </c>
      <c r="I13" s="11">
        <v>0</v>
      </c>
      <c r="J13" s="11">
        <v>0</v>
      </c>
    </row>
    <row r="14" spans="1:12">
      <c r="A14" s="1"/>
      <c r="B14" s="1">
        <v>1383</v>
      </c>
      <c r="C14" s="1" t="s">
        <v>327</v>
      </c>
      <c r="D14" s="1"/>
      <c r="E14" s="11"/>
      <c r="F14" s="11">
        <v>40</v>
      </c>
      <c r="G14" s="11">
        <f t="shared" si="0"/>
        <v>4.8</v>
      </c>
      <c r="H14" s="11">
        <f t="shared" si="2"/>
        <v>44.8</v>
      </c>
      <c r="I14" s="11">
        <v>0</v>
      </c>
      <c r="J14" s="11">
        <v>0</v>
      </c>
    </row>
    <row r="15" spans="1:12">
      <c r="A15" s="1"/>
      <c r="B15" s="1">
        <v>1384</v>
      </c>
      <c r="C15" s="1" t="s">
        <v>312</v>
      </c>
      <c r="D15" s="1"/>
      <c r="E15" s="11"/>
      <c r="F15" s="11">
        <v>122.23</v>
      </c>
      <c r="G15" s="11">
        <f t="shared" si="0"/>
        <v>14.6676</v>
      </c>
      <c r="H15" s="11">
        <f t="shared" si="2"/>
        <v>136.89760000000001</v>
      </c>
      <c r="I15" s="11">
        <f>+F15*10%</f>
        <v>12.223000000000001</v>
      </c>
      <c r="J15" s="11">
        <f>+G15</f>
        <v>14.6676</v>
      </c>
    </row>
    <row r="16" spans="1:12">
      <c r="A16" s="1"/>
      <c r="B16" s="1">
        <v>1385</v>
      </c>
      <c r="C16" s="1" t="s">
        <v>328</v>
      </c>
      <c r="D16" s="1"/>
      <c r="E16" s="11"/>
      <c r="F16" s="11">
        <v>0</v>
      </c>
      <c r="G16" s="11">
        <f t="shared" si="0"/>
        <v>0</v>
      </c>
      <c r="H16" s="11">
        <f t="shared" si="2"/>
        <v>0</v>
      </c>
      <c r="I16" s="11">
        <v>0</v>
      </c>
      <c r="J16" s="11">
        <v>0</v>
      </c>
    </row>
    <row r="17" spans="1:11">
      <c r="A17" s="1"/>
      <c r="B17" s="1">
        <v>1386</v>
      </c>
      <c r="C17" s="1" t="s">
        <v>318</v>
      </c>
      <c r="D17" s="1"/>
      <c r="E17" s="11">
        <v>250</v>
      </c>
      <c r="F17" s="11"/>
      <c r="G17" s="11">
        <f t="shared" si="0"/>
        <v>0</v>
      </c>
      <c r="H17" s="11">
        <f t="shared" si="2"/>
        <v>250</v>
      </c>
      <c r="I17" s="11">
        <v>0</v>
      </c>
      <c r="J17" s="11">
        <v>0</v>
      </c>
      <c r="K17" s="15"/>
    </row>
    <row r="18" spans="1:11">
      <c r="A18" s="1"/>
      <c r="B18" s="1">
        <v>1387</v>
      </c>
      <c r="C18" s="1" t="s">
        <v>329</v>
      </c>
      <c r="D18" s="1"/>
      <c r="E18" s="11">
        <v>420</v>
      </c>
      <c r="F18" s="11"/>
      <c r="G18" s="11">
        <f t="shared" si="0"/>
        <v>0</v>
      </c>
      <c r="H18" s="11">
        <f t="shared" si="2"/>
        <v>420</v>
      </c>
      <c r="I18" s="11">
        <f t="shared" ref="I18:I21" si="3">+F18*10%</f>
        <v>0</v>
      </c>
      <c r="J18" s="11">
        <f t="shared" ref="J18:J21" si="4">+G18*100%</f>
        <v>0</v>
      </c>
      <c r="K18" s="15"/>
    </row>
    <row r="19" spans="1:11">
      <c r="A19" s="1"/>
      <c r="B19" s="1">
        <v>1388</v>
      </c>
      <c r="C19" s="1" t="s">
        <v>284</v>
      </c>
      <c r="D19" s="1"/>
      <c r="E19" s="11"/>
      <c r="F19" s="11">
        <v>1444.44</v>
      </c>
      <c r="G19" s="11">
        <f t="shared" si="0"/>
        <v>173.33279999999999</v>
      </c>
      <c r="H19" s="11">
        <f t="shared" si="2"/>
        <v>1617.7728</v>
      </c>
      <c r="I19" s="11">
        <f t="shared" si="3"/>
        <v>144.44400000000002</v>
      </c>
      <c r="J19" s="11">
        <f t="shared" si="4"/>
        <v>173.33279999999999</v>
      </c>
      <c r="K19" s="15"/>
    </row>
    <row r="20" spans="1:11">
      <c r="A20" s="1"/>
      <c r="B20" s="1">
        <v>1389</v>
      </c>
      <c r="C20" s="1" t="s">
        <v>323</v>
      </c>
      <c r="D20" s="1"/>
      <c r="E20" s="11"/>
      <c r="F20" s="11">
        <v>0</v>
      </c>
      <c r="G20" s="11">
        <f t="shared" si="0"/>
        <v>0</v>
      </c>
      <c r="H20" s="11">
        <f t="shared" si="2"/>
        <v>0</v>
      </c>
      <c r="I20" s="11">
        <v>0</v>
      </c>
      <c r="J20" s="11">
        <v>0</v>
      </c>
      <c r="K20" s="187"/>
    </row>
    <row r="21" spans="1:11">
      <c r="A21" s="1"/>
      <c r="B21" s="1"/>
      <c r="C21" s="1"/>
      <c r="D21" s="1"/>
      <c r="E21" s="1"/>
      <c r="F21" s="11"/>
      <c r="G21" s="11">
        <f t="shared" si="0"/>
        <v>0</v>
      </c>
      <c r="H21" s="11">
        <f t="shared" si="2"/>
        <v>0</v>
      </c>
      <c r="I21" s="11">
        <f t="shared" si="3"/>
        <v>0</v>
      </c>
      <c r="J21" s="11">
        <f t="shared" si="4"/>
        <v>0</v>
      </c>
    </row>
    <row r="22" spans="1:11" ht="15.75" thickBot="1">
      <c r="A22" s="2"/>
      <c r="B22" s="2"/>
      <c r="C22" s="2"/>
      <c r="D22" s="79">
        <f t="shared" ref="D22:J22" si="5">SUM(D8:D21)</f>
        <v>0</v>
      </c>
      <c r="E22" s="79">
        <f t="shared" si="5"/>
        <v>670</v>
      </c>
      <c r="F22" s="79">
        <f t="shared" si="5"/>
        <v>4073.1000000000004</v>
      </c>
      <c r="G22" s="79">
        <f t="shared" si="5"/>
        <v>488.77199999999993</v>
      </c>
      <c r="H22" s="79">
        <f t="shared" si="5"/>
        <v>5231.8720000000003</v>
      </c>
      <c r="I22" s="79">
        <f t="shared" si="5"/>
        <v>363.47020000000003</v>
      </c>
      <c r="J22" s="79">
        <f t="shared" si="5"/>
        <v>447.97199999999998</v>
      </c>
    </row>
    <row r="23" spans="1:11">
      <c r="A23" s="1"/>
      <c r="B23" s="1"/>
      <c r="C23" s="1"/>
      <c r="D23" s="1"/>
      <c r="E23" s="4"/>
      <c r="F23" s="4"/>
      <c r="G23" s="1"/>
      <c r="H23" s="1"/>
      <c r="I23" s="1"/>
    </row>
    <row r="24" spans="1:11">
      <c r="A24" s="2" t="s">
        <v>6</v>
      </c>
      <c r="B24" s="1"/>
      <c r="C24" s="1"/>
      <c r="D24" s="1"/>
      <c r="E24" s="1"/>
      <c r="F24" s="1"/>
      <c r="G24" s="1"/>
      <c r="H24" s="1"/>
      <c r="I24" s="3"/>
    </row>
    <row r="25" spans="1:11" ht="15.75" thickBot="1">
      <c r="A25" s="1"/>
      <c r="B25" s="3"/>
      <c r="C25" s="3"/>
      <c r="D25" s="3"/>
      <c r="E25" s="3"/>
      <c r="F25" s="3"/>
      <c r="G25" s="3"/>
      <c r="H25" s="3"/>
      <c r="I25" s="4"/>
    </row>
    <row r="26" spans="1:11" ht="24" customHeight="1" thickTop="1" thickBot="1">
      <c r="A26" s="1" t="s">
        <v>1</v>
      </c>
      <c r="B26" s="38" t="s">
        <v>2</v>
      </c>
      <c r="C26" s="38" t="s">
        <v>3</v>
      </c>
      <c r="D26" s="38" t="s">
        <v>7</v>
      </c>
      <c r="E26" s="38" t="s">
        <v>8</v>
      </c>
      <c r="F26" s="38" t="s">
        <v>4</v>
      </c>
      <c r="G26" s="38" t="s">
        <v>5</v>
      </c>
      <c r="I26" s="4"/>
    </row>
    <row r="27" spans="1:11" ht="15.75" thickTop="1">
      <c r="A27" s="1"/>
      <c r="B27" s="279">
        <v>57471</v>
      </c>
      <c r="C27" s="67" t="s">
        <v>330</v>
      </c>
      <c r="D27" s="30">
        <v>0.6</v>
      </c>
      <c r="E27" s="30">
        <v>14.32</v>
      </c>
      <c r="F27" s="4">
        <f>+E27*0.12</f>
        <v>1.7183999999999999</v>
      </c>
      <c r="G27" s="4">
        <f>+D27+E27+F27</f>
        <v>16.638400000000001</v>
      </c>
    </row>
    <row r="28" spans="1:11">
      <c r="A28" s="1"/>
      <c r="B28" s="279">
        <v>105030</v>
      </c>
      <c r="C28" s="67" t="s">
        <v>331</v>
      </c>
      <c r="D28" s="30"/>
      <c r="E28" s="30">
        <v>7.12</v>
      </c>
      <c r="F28" s="4">
        <f t="shared" ref="F28:F36" si="6">+E28*0.12</f>
        <v>0.85439999999999994</v>
      </c>
      <c r="G28" s="4">
        <f t="shared" ref="G28:G36" si="7">+D28+E28+F28</f>
        <v>7.9744000000000002</v>
      </c>
      <c r="I28" s="4"/>
    </row>
    <row r="29" spans="1:11">
      <c r="A29" s="1"/>
      <c r="B29" s="279">
        <v>120321</v>
      </c>
      <c r="C29" s="67" t="s">
        <v>332</v>
      </c>
      <c r="D29" s="30"/>
      <c r="E29" s="30">
        <v>3.55</v>
      </c>
      <c r="F29" s="4">
        <f t="shared" si="6"/>
        <v>0.42599999999999999</v>
      </c>
      <c r="G29" s="4">
        <f t="shared" si="7"/>
        <v>3.976</v>
      </c>
      <c r="I29" s="4"/>
    </row>
    <row r="30" spans="1:11">
      <c r="A30" s="1"/>
      <c r="B30" s="279">
        <v>87231</v>
      </c>
      <c r="C30" s="67" t="s">
        <v>333</v>
      </c>
      <c r="D30" s="30"/>
      <c r="E30" s="30">
        <v>6.42</v>
      </c>
      <c r="F30" s="4">
        <f t="shared" si="6"/>
        <v>0.77039999999999997</v>
      </c>
      <c r="G30" s="4">
        <f t="shared" si="7"/>
        <v>7.1904000000000003</v>
      </c>
      <c r="I30" s="4"/>
    </row>
    <row r="31" spans="1:11">
      <c r="A31" s="1"/>
      <c r="B31" s="279">
        <v>87230</v>
      </c>
      <c r="C31" s="67" t="s">
        <v>333</v>
      </c>
      <c r="D31" s="30"/>
      <c r="E31" s="30">
        <v>14.53</v>
      </c>
      <c r="F31" s="4">
        <f t="shared" si="6"/>
        <v>1.7435999999999998</v>
      </c>
      <c r="G31" s="4">
        <f t="shared" si="7"/>
        <v>16.273599999999998</v>
      </c>
      <c r="I31" s="4"/>
    </row>
    <row r="32" spans="1:11">
      <c r="A32" s="1"/>
      <c r="B32" s="279">
        <v>304238</v>
      </c>
      <c r="C32" s="67" t="s">
        <v>334</v>
      </c>
      <c r="D32" s="30"/>
      <c r="E32" s="30">
        <v>3.81</v>
      </c>
      <c r="F32" s="4">
        <f t="shared" si="6"/>
        <v>0.4572</v>
      </c>
      <c r="G32" s="4">
        <f t="shared" si="7"/>
        <v>4.2671999999999999</v>
      </c>
      <c r="I32" s="4"/>
    </row>
    <row r="33" spans="1:9">
      <c r="A33" s="1"/>
      <c r="B33" s="279"/>
      <c r="C33" s="67"/>
      <c r="D33" s="30"/>
      <c r="E33" s="30"/>
      <c r="F33" s="4">
        <f t="shared" si="6"/>
        <v>0</v>
      </c>
      <c r="G33" s="4">
        <f t="shared" si="7"/>
        <v>0</v>
      </c>
      <c r="I33" s="4"/>
    </row>
    <row r="34" spans="1:9">
      <c r="A34" s="1"/>
      <c r="B34" s="258"/>
      <c r="C34" s="67"/>
      <c r="D34" s="30"/>
      <c r="E34" s="30"/>
      <c r="F34" s="4">
        <f t="shared" si="6"/>
        <v>0</v>
      </c>
      <c r="G34" s="4">
        <f t="shared" si="7"/>
        <v>0</v>
      </c>
      <c r="I34" s="4"/>
    </row>
    <row r="35" spans="1:9">
      <c r="A35" s="1"/>
      <c r="B35" s="258"/>
      <c r="C35" s="67"/>
      <c r="D35" s="30"/>
      <c r="E35" s="30"/>
      <c r="F35" s="4">
        <f t="shared" si="6"/>
        <v>0</v>
      </c>
      <c r="G35" s="4">
        <f t="shared" si="7"/>
        <v>0</v>
      </c>
      <c r="I35" s="4"/>
    </row>
    <row r="36" spans="1:9">
      <c r="A36" s="1"/>
      <c r="B36" s="13"/>
      <c r="C36" s="67"/>
      <c r="D36" s="30"/>
      <c r="E36" s="30"/>
      <c r="F36" s="4">
        <f t="shared" si="6"/>
        <v>0</v>
      </c>
      <c r="G36" s="4">
        <f t="shared" si="7"/>
        <v>0</v>
      </c>
      <c r="I36" s="4"/>
    </row>
    <row r="37" spans="1:9" ht="15.75" thickBot="1">
      <c r="A37" s="2"/>
      <c r="B37" s="2"/>
      <c r="C37" s="2"/>
      <c r="D37" s="79">
        <f>SUM(D27:D36)</f>
        <v>0.6</v>
      </c>
      <c r="E37" s="79">
        <f>SUM(E27:E36)</f>
        <v>49.750000000000007</v>
      </c>
      <c r="F37" s="79">
        <f>SUM(F27:F36)</f>
        <v>5.9700000000000006</v>
      </c>
      <c r="G37" s="79">
        <f>SUM(G27:G36)</f>
        <v>56.320000000000007</v>
      </c>
    </row>
    <row r="38" spans="1:9">
      <c r="A38" s="2"/>
      <c r="B38" s="2"/>
      <c r="C38" s="2"/>
      <c r="D38" s="2"/>
      <c r="E38" s="10"/>
      <c r="F38" s="10"/>
      <c r="G38" s="10"/>
      <c r="H38" s="10"/>
      <c r="I38" s="10"/>
    </row>
    <row r="39" spans="1:9">
      <c r="A39" s="2"/>
      <c r="B39" s="2"/>
      <c r="C39" s="2"/>
      <c r="D39" s="2"/>
      <c r="E39" s="10"/>
      <c r="F39" s="10"/>
      <c r="G39" s="10"/>
      <c r="H39" s="10"/>
      <c r="I39" s="10"/>
    </row>
    <row r="41" spans="1:9">
      <c r="A41" s="1"/>
      <c r="B41" s="1"/>
      <c r="C41" s="1" t="s">
        <v>78</v>
      </c>
      <c r="D41" s="1"/>
      <c r="F41" s="11">
        <f>+F22</f>
        <v>4073.1000000000004</v>
      </c>
      <c r="G41" s="7">
        <v>0.12</v>
      </c>
      <c r="H41" s="4">
        <f>+F41*G41</f>
        <v>488.77200000000005</v>
      </c>
      <c r="I41" s="1"/>
    </row>
    <row r="42" spans="1:9">
      <c r="A42" s="1"/>
      <c r="B42" s="1"/>
      <c r="C42" s="1" t="s">
        <v>42</v>
      </c>
      <c r="D42" s="1"/>
      <c r="F42" s="11">
        <f>+E22</f>
        <v>670</v>
      </c>
      <c r="G42" s="1"/>
      <c r="H42" s="4"/>
      <c r="I42" s="1"/>
    </row>
    <row r="43" spans="1:9">
      <c r="A43" s="1"/>
      <c r="B43" s="1"/>
      <c r="C43" s="1" t="s">
        <v>54</v>
      </c>
      <c r="D43" s="1"/>
      <c r="F43" s="80">
        <f>+D22</f>
        <v>0</v>
      </c>
      <c r="G43" s="7"/>
      <c r="H43" s="9"/>
      <c r="I43" s="1"/>
    </row>
    <row r="44" spans="1:9">
      <c r="A44" s="1"/>
      <c r="B44" s="1"/>
      <c r="C44" s="2" t="s">
        <v>73</v>
      </c>
      <c r="D44" s="2"/>
      <c r="E44" s="22"/>
      <c r="F44" s="81">
        <f>SUM(F41:F43)</f>
        <v>4743.1000000000004</v>
      </c>
      <c r="G44" s="5"/>
      <c r="H44" s="5">
        <f>SUM(H41:H43)</f>
        <v>488.77200000000005</v>
      </c>
      <c r="I44" s="1"/>
    </row>
    <row r="45" spans="1:9">
      <c r="A45" s="1"/>
      <c r="B45" s="1"/>
      <c r="C45" s="2"/>
      <c r="D45" s="2"/>
      <c r="E45" s="22"/>
      <c r="F45" s="81"/>
      <c r="G45" s="5"/>
      <c r="H45" s="5"/>
      <c r="I45" s="1"/>
    </row>
    <row r="46" spans="1:9">
      <c r="A46" s="1"/>
      <c r="B46" s="1"/>
      <c r="C46" s="177" t="s">
        <v>222</v>
      </c>
      <c r="D46" s="178"/>
      <c r="E46" s="179"/>
      <c r="F46" s="180">
        <f>+F41/F44</f>
        <v>0.85874217284054732</v>
      </c>
      <c r="G46" s="5"/>
      <c r="H46" s="5"/>
      <c r="I46" s="1"/>
    </row>
    <row r="47" spans="1:9">
      <c r="A47" s="1"/>
      <c r="B47" s="1"/>
      <c r="C47" s="1"/>
      <c r="D47" s="1"/>
      <c r="F47" s="11"/>
      <c r="G47" s="1"/>
      <c r="H47" s="4"/>
      <c r="I47" s="1"/>
    </row>
    <row r="48" spans="1:9">
      <c r="A48" s="1"/>
      <c r="B48" s="1"/>
      <c r="C48" s="1" t="s">
        <v>10</v>
      </c>
      <c r="D48" s="1"/>
      <c r="F48" s="11">
        <f>+D37</f>
        <v>0.6</v>
      </c>
      <c r="G48" s="1"/>
      <c r="H48" s="4"/>
      <c r="I48" s="1"/>
    </row>
    <row r="49" spans="1:10">
      <c r="A49" s="1"/>
      <c r="B49" s="1"/>
      <c r="C49" s="1" t="s">
        <v>11</v>
      </c>
      <c r="D49" s="1"/>
      <c r="F49" s="80">
        <f>+E37</f>
        <v>49.750000000000007</v>
      </c>
      <c r="G49" s="7">
        <v>0.12</v>
      </c>
      <c r="H49" s="9">
        <f>+F49*G49</f>
        <v>5.9700000000000006</v>
      </c>
      <c r="I49" s="1"/>
    </row>
    <row r="50" spans="1:10">
      <c r="A50" s="1"/>
      <c r="B50" s="1"/>
      <c r="C50" s="2" t="s">
        <v>72</v>
      </c>
      <c r="D50" s="2"/>
      <c r="E50" s="22"/>
      <c r="F50" s="81">
        <f>SUM(F48:F49)</f>
        <v>50.350000000000009</v>
      </c>
      <c r="G50" s="5"/>
      <c r="H50" s="5">
        <f>SUM(H48:H49)</f>
        <v>5.9700000000000006</v>
      </c>
      <c r="I50" s="1"/>
    </row>
    <row r="51" spans="1:10">
      <c r="A51" s="1"/>
      <c r="B51" s="1"/>
      <c r="C51" s="2" t="s">
        <v>223</v>
      </c>
      <c r="D51" s="2"/>
      <c r="E51" s="22"/>
      <c r="F51" s="81"/>
      <c r="G51" s="5"/>
      <c r="H51" s="5">
        <f>+H50*F46</f>
        <v>5.1266907718580681</v>
      </c>
      <c r="I51" s="1"/>
    </row>
    <row r="52" spans="1:10">
      <c r="A52" s="1"/>
      <c r="B52" s="1"/>
      <c r="C52" s="1"/>
      <c r="D52" s="1"/>
      <c r="F52" s="11"/>
      <c r="G52" s="1"/>
      <c r="H52" s="4"/>
      <c r="I52" s="1"/>
    </row>
    <row r="53" spans="1:10">
      <c r="A53" s="1"/>
      <c r="B53" s="1"/>
      <c r="C53" s="68" t="s">
        <v>70</v>
      </c>
      <c r="D53" s="1"/>
      <c r="F53" s="1"/>
      <c r="G53" s="1"/>
      <c r="H53" s="69">
        <f>+H44-H51-0.01</f>
        <v>483.63530922814198</v>
      </c>
      <c r="I53" s="1"/>
    </row>
    <row r="54" spans="1:10">
      <c r="A54" s="1"/>
      <c r="B54" s="1"/>
      <c r="C54" s="1"/>
      <c r="D54" s="1"/>
      <c r="F54" s="1"/>
      <c r="G54" s="1"/>
      <c r="H54" s="4"/>
      <c r="I54" s="1"/>
    </row>
    <row r="55" spans="1:10">
      <c r="A55" s="1"/>
      <c r="B55" s="1"/>
      <c r="C55" s="1" t="s">
        <v>13</v>
      </c>
      <c r="D55" s="1"/>
      <c r="F55" s="1"/>
      <c r="G55" s="1"/>
      <c r="H55" s="4">
        <f>-J22</f>
        <v>-447.97199999999998</v>
      </c>
      <c r="I55" s="1"/>
    </row>
    <row r="56" spans="1:10">
      <c r="A56" s="1"/>
      <c r="B56" s="1"/>
      <c r="C56" s="1"/>
      <c r="D56" s="1"/>
      <c r="F56" s="1"/>
      <c r="G56" s="1"/>
      <c r="H56" s="4"/>
      <c r="I56" s="1"/>
    </row>
    <row r="57" spans="1:10">
      <c r="A57" s="1"/>
      <c r="B57" s="1"/>
      <c r="C57" s="68" t="s">
        <v>12</v>
      </c>
      <c r="D57" s="1"/>
      <c r="F57" s="1"/>
      <c r="G57" s="1"/>
      <c r="H57" s="69">
        <f>+H53+H55</f>
        <v>35.663309228141998</v>
      </c>
      <c r="I57" s="1"/>
    </row>
    <row r="58" spans="1:10">
      <c r="C58" s="1"/>
      <c r="D58" s="1"/>
      <c r="F58" s="1"/>
      <c r="G58" s="1"/>
      <c r="H58" s="4"/>
      <c r="I58" s="1"/>
    </row>
    <row r="59" spans="1:10" ht="15.75">
      <c r="C59" s="70" t="s">
        <v>74</v>
      </c>
      <c r="E59" s="74" t="s">
        <v>75</v>
      </c>
      <c r="F59" s="71">
        <v>605</v>
      </c>
      <c r="H59" s="72">
        <f>+SEPTIEMBRE!H61</f>
        <v>0</v>
      </c>
      <c r="I59" s="1"/>
    </row>
    <row r="60" spans="1:10" ht="15.75">
      <c r="C60" s="70" t="s">
        <v>74</v>
      </c>
      <c r="E60" s="74" t="s">
        <v>76</v>
      </c>
      <c r="F60" s="71">
        <v>606</v>
      </c>
      <c r="H60" s="72">
        <f>+SEPTIEMBRE!H62</f>
        <v>3760.0330086630438</v>
      </c>
      <c r="I60" s="1"/>
    </row>
    <row r="61" spans="1:10" ht="15.75">
      <c r="C61" s="70"/>
      <c r="F61" s="71"/>
      <c r="H61" s="73"/>
      <c r="J61" s="17"/>
    </row>
    <row r="62" spans="1:10" ht="15.75">
      <c r="C62" s="70"/>
      <c r="F62" s="71"/>
      <c r="H62" s="73"/>
      <c r="I62" s="1"/>
    </row>
    <row r="63" spans="1:10" ht="15.75">
      <c r="C63" s="70" t="s">
        <v>77</v>
      </c>
      <c r="F63" s="71">
        <v>615</v>
      </c>
      <c r="H63" s="73">
        <f>+H59</f>
        <v>0</v>
      </c>
    </row>
    <row r="64" spans="1:10" ht="15.75">
      <c r="C64" s="70" t="s">
        <v>77</v>
      </c>
      <c r="F64" s="71">
        <v>617</v>
      </c>
      <c r="H64" s="72">
        <f>+H57+H60+0.01</f>
        <v>3795.7063178911858</v>
      </c>
    </row>
  </sheetData>
  <pageMargins left="0.70866141732283472" right="0.70866141732283472" top="0.74803149606299213" bottom="0.74803149606299213" header="0.31496062992125984" footer="0.31496062992125984"/>
  <pageSetup scale="66" orientation="portrait" verticalDpi="14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CCFF99"/>
    <pageSetUpPr fitToPage="1"/>
  </sheetPr>
  <dimension ref="A1:K61"/>
  <sheetViews>
    <sheetView workbookViewId="0">
      <selection activeCell="I61" sqref="I61"/>
    </sheetView>
  </sheetViews>
  <sheetFormatPr baseColWidth="10" defaultRowHeight="15"/>
  <cols>
    <col min="1" max="1" width="8.140625" customWidth="1"/>
    <col min="2" max="2" width="16.5703125" customWidth="1"/>
    <col min="3" max="3" width="12.42578125" customWidth="1"/>
    <col min="4" max="4" width="28.5703125" customWidth="1"/>
    <col min="5" max="5" width="12.5703125" bestFit="1" customWidth="1"/>
    <col min="11" max="11" width="14" customWidth="1"/>
  </cols>
  <sheetData>
    <row r="1" spans="1:11">
      <c r="A1" s="2"/>
      <c r="B1" s="2"/>
      <c r="C1" s="1"/>
      <c r="D1" s="1"/>
      <c r="E1" s="1"/>
      <c r="F1" s="4"/>
      <c r="G1" s="4"/>
      <c r="H1" s="4"/>
      <c r="I1" s="4"/>
      <c r="J1" s="4"/>
    </row>
    <row r="2" spans="1:11" ht="15.75" thickBot="1">
      <c r="A2" s="2" t="s">
        <v>71</v>
      </c>
      <c r="B2" s="2"/>
      <c r="C2" s="1"/>
      <c r="D2" s="1"/>
      <c r="E2" s="1"/>
      <c r="F2" s="4"/>
      <c r="G2" s="4"/>
      <c r="H2" s="4"/>
      <c r="I2" s="4"/>
      <c r="J2" s="4"/>
    </row>
    <row r="3" spans="1:11" ht="15.75" thickBot="1">
      <c r="A3" s="268" t="s">
        <v>272</v>
      </c>
      <c r="B3" s="271"/>
      <c r="C3" s="144"/>
      <c r="D3" s="1"/>
      <c r="E3" s="1"/>
      <c r="F3" s="1"/>
      <c r="G3" s="1"/>
      <c r="H3" s="1"/>
      <c r="I3" s="1"/>
      <c r="J3" s="1"/>
    </row>
    <row r="4" spans="1:11">
      <c r="A4" s="6"/>
      <c r="B4" s="6"/>
      <c r="C4" s="1"/>
      <c r="D4" s="1"/>
      <c r="E4" s="1"/>
      <c r="F4" s="1"/>
      <c r="G4" s="1"/>
      <c r="H4" s="1"/>
      <c r="I4" s="1"/>
      <c r="J4" s="1"/>
    </row>
    <row r="5" spans="1:11">
      <c r="A5" s="2" t="s">
        <v>0</v>
      </c>
      <c r="B5" s="2"/>
      <c r="C5" s="1"/>
      <c r="D5" s="1"/>
      <c r="E5" s="1"/>
      <c r="F5" s="1"/>
      <c r="G5" s="1"/>
      <c r="H5" s="1"/>
      <c r="I5" s="1"/>
      <c r="J5" s="1"/>
    </row>
    <row r="6" spans="1:11" ht="15.75" thickBot="1">
      <c r="A6" s="1"/>
      <c r="B6" s="1"/>
      <c r="C6" s="3"/>
      <c r="D6" s="3"/>
      <c r="E6" s="3"/>
      <c r="F6" s="12"/>
      <c r="G6" s="12"/>
      <c r="H6" s="12"/>
      <c r="I6" s="12"/>
      <c r="J6" s="12"/>
    </row>
    <row r="7" spans="1:11" ht="25.5" thickTop="1" thickBot="1">
      <c r="A7" s="1" t="s">
        <v>1</v>
      </c>
      <c r="B7" s="38" t="s">
        <v>231</v>
      </c>
      <c r="C7" s="38" t="s">
        <v>2</v>
      </c>
      <c r="D7" s="38" t="s">
        <v>3</v>
      </c>
      <c r="E7" s="38" t="s">
        <v>54</v>
      </c>
      <c r="F7" s="38" t="s">
        <v>52</v>
      </c>
      <c r="G7" s="38" t="s">
        <v>49</v>
      </c>
      <c r="H7" s="38" t="s">
        <v>4</v>
      </c>
      <c r="I7" s="38" t="s">
        <v>9</v>
      </c>
      <c r="J7" s="38" t="s">
        <v>50</v>
      </c>
      <c r="K7" s="38" t="s">
        <v>51</v>
      </c>
    </row>
    <row r="8" spans="1:11" ht="15.75" thickTop="1">
      <c r="A8" s="1"/>
      <c r="B8" s="183">
        <v>43774</v>
      </c>
      <c r="C8" s="181">
        <v>1390</v>
      </c>
      <c r="D8" s="1" t="s">
        <v>284</v>
      </c>
      <c r="E8" s="1"/>
      <c r="F8" s="11"/>
      <c r="G8" s="11">
        <v>1444.44</v>
      </c>
      <c r="H8" s="11">
        <f t="shared" ref="H8:H10" si="0">+G8*0.12</f>
        <v>173.33279999999999</v>
      </c>
      <c r="I8" s="11">
        <f>+E8+F8+G8+H8</f>
        <v>1617.7728</v>
      </c>
      <c r="J8" s="11">
        <f>+G8*10%</f>
        <v>144.44400000000002</v>
      </c>
      <c r="K8" s="11">
        <f>+H8*100%</f>
        <v>173.33279999999999</v>
      </c>
    </row>
    <row r="9" spans="1:11">
      <c r="A9" s="1"/>
      <c r="B9" s="183">
        <v>43774</v>
      </c>
      <c r="C9" s="181">
        <v>1391</v>
      </c>
      <c r="D9" s="1" t="s">
        <v>227</v>
      </c>
      <c r="E9" s="1"/>
      <c r="F9" s="11"/>
      <c r="G9" s="11">
        <v>354.44</v>
      </c>
      <c r="H9" s="11">
        <f t="shared" si="0"/>
        <v>42.532799999999995</v>
      </c>
      <c r="I9" s="11">
        <f t="shared" ref="I9:I20" si="1">+E9+F9+G9+H9</f>
        <v>396.97280000000001</v>
      </c>
      <c r="J9" s="11">
        <f>+G9*10%</f>
        <v>35.444000000000003</v>
      </c>
      <c r="K9" s="11">
        <f>+H9*100%</f>
        <v>42.532799999999995</v>
      </c>
    </row>
    <row r="10" spans="1:11">
      <c r="A10" s="1"/>
      <c r="B10" s="183">
        <v>43774</v>
      </c>
      <c r="C10" s="181">
        <v>1392</v>
      </c>
      <c r="D10" s="1" t="s">
        <v>250</v>
      </c>
      <c r="E10" s="1"/>
      <c r="F10" s="11"/>
      <c r="G10" s="11">
        <v>491.99</v>
      </c>
      <c r="H10" s="11">
        <f t="shared" si="0"/>
        <v>59.038800000000002</v>
      </c>
      <c r="I10" s="11">
        <f t="shared" si="1"/>
        <v>551.02880000000005</v>
      </c>
      <c r="J10" s="11">
        <f>+G10*8%</f>
        <v>39.359200000000001</v>
      </c>
      <c r="K10" s="11">
        <f t="shared" ref="K10:K20" si="2">+H10*100/100</f>
        <v>59.038800000000002</v>
      </c>
    </row>
    <row r="11" spans="1:11">
      <c r="A11" s="1"/>
      <c r="B11" s="183">
        <v>43774</v>
      </c>
      <c r="C11" s="181">
        <v>1393</v>
      </c>
      <c r="D11" s="1" t="s">
        <v>291</v>
      </c>
      <c r="E11" s="1"/>
      <c r="F11" s="11"/>
      <c r="G11" s="11">
        <v>200</v>
      </c>
      <c r="H11" s="11">
        <f>+G11*0.12</f>
        <v>24</v>
      </c>
      <c r="I11" s="11">
        <f t="shared" si="1"/>
        <v>224</v>
      </c>
      <c r="J11" s="11">
        <v>0</v>
      </c>
      <c r="K11" s="11">
        <v>0</v>
      </c>
    </row>
    <row r="12" spans="1:11">
      <c r="A12" s="1"/>
      <c r="B12" s="183">
        <v>43774</v>
      </c>
      <c r="C12" s="181">
        <v>1394</v>
      </c>
      <c r="D12" s="1" t="s">
        <v>287</v>
      </c>
      <c r="E12" s="1"/>
      <c r="F12" s="11"/>
      <c r="G12" s="11">
        <v>100</v>
      </c>
      <c r="H12" s="11">
        <f t="shared" ref="H12:H20" si="3">+G12*0.12</f>
        <v>12</v>
      </c>
      <c r="I12" s="11">
        <f t="shared" si="1"/>
        <v>112</v>
      </c>
      <c r="J12" s="11">
        <v>0</v>
      </c>
      <c r="K12" s="11">
        <v>0</v>
      </c>
    </row>
    <row r="13" spans="1:11">
      <c r="A13" s="1"/>
      <c r="B13" s="183">
        <v>43774</v>
      </c>
      <c r="C13" s="181">
        <v>1395</v>
      </c>
      <c r="D13" s="1" t="s">
        <v>335</v>
      </c>
      <c r="E13" s="1"/>
      <c r="F13" s="11"/>
      <c r="G13" s="11">
        <v>40</v>
      </c>
      <c r="H13" s="11">
        <f t="shared" si="3"/>
        <v>4.8</v>
      </c>
      <c r="I13" s="11">
        <f t="shared" si="1"/>
        <v>44.8</v>
      </c>
      <c r="J13" s="11">
        <v>0</v>
      </c>
      <c r="K13" s="11">
        <v>0</v>
      </c>
    </row>
    <row r="14" spans="1:11">
      <c r="A14" s="1"/>
      <c r="B14" s="183">
        <v>43774</v>
      </c>
      <c r="C14" s="181">
        <v>1396</v>
      </c>
      <c r="D14" s="1" t="s">
        <v>312</v>
      </c>
      <c r="E14" s="1"/>
      <c r="F14" s="11"/>
      <c r="G14" s="11">
        <v>122.23</v>
      </c>
      <c r="H14" s="11">
        <f t="shared" si="3"/>
        <v>14.6676</v>
      </c>
      <c r="I14" s="11">
        <f t="shared" si="1"/>
        <v>136.89760000000001</v>
      </c>
      <c r="J14" s="11">
        <f>+G14*10%</f>
        <v>12.223000000000001</v>
      </c>
      <c r="K14" s="11">
        <f t="shared" si="2"/>
        <v>14.6676</v>
      </c>
    </row>
    <row r="15" spans="1:11">
      <c r="A15" s="1"/>
      <c r="B15" s="183">
        <v>43774</v>
      </c>
      <c r="C15" s="181">
        <v>1397</v>
      </c>
      <c r="D15" s="1" t="s">
        <v>318</v>
      </c>
      <c r="E15" s="1"/>
      <c r="F15" s="11">
        <v>250</v>
      </c>
      <c r="G15" s="11"/>
      <c r="H15" s="11">
        <f t="shared" si="3"/>
        <v>0</v>
      </c>
      <c r="I15" s="11">
        <f t="shared" si="1"/>
        <v>250</v>
      </c>
      <c r="J15" s="11">
        <v>0</v>
      </c>
      <c r="K15" s="11">
        <v>0</v>
      </c>
    </row>
    <row r="16" spans="1:11">
      <c r="A16" s="1"/>
      <c r="B16" s="183">
        <v>43774</v>
      </c>
      <c r="C16" s="181">
        <v>1398</v>
      </c>
      <c r="D16" s="1" t="s">
        <v>313</v>
      </c>
      <c r="E16" s="1"/>
      <c r="F16" s="11">
        <v>1650</v>
      </c>
      <c r="G16" s="11"/>
      <c r="H16" s="11">
        <f t="shared" si="3"/>
        <v>0</v>
      </c>
      <c r="I16" s="11">
        <f t="shared" si="1"/>
        <v>1650</v>
      </c>
      <c r="J16" s="11">
        <f t="shared" ref="J16:J20" si="4">+G16*0.1</f>
        <v>0</v>
      </c>
      <c r="K16" s="11">
        <f t="shared" si="2"/>
        <v>0</v>
      </c>
    </row>
    <row r="17" spans="1:11">
      <c r="A17" s="1"/>
      <c r="B17" s="183">
        <v>43774</v>
      </c>
      <c r="C17" s="181">
        <v>1399</v>
      </c>
      <c r="D17" s="1" t="s">
        <v>290</v>
      </c>
      <c r="E17" s="1"/>
      <c r="F17" s="11"/>
      <c r="G17" s="11">
        <v>0</v>
      </c>
      <c r="H17" s="11">
        <f t="shared" si="3"/>
        <v>0</v>
      </c>
      <c r="I17" s="11">
        <f t="shared" si="1"/>
        <v>0</v>
      </c>
      <c r="J17" s="189">
        <f>+G17*10%</f>
        <v>0</v>
      </c>
      <c r="K17" s="189">
        <f>+H17*100%</f>
        <v>0</v>
      </c>
    </row>
    <row r="18" spans="1:11">
      <c r="A18" s="1"/>
      <c r="B18" s="183">
        <v>43774</v>
      </c>
      <c r="C18" s="181">
        <v>1400</v>
      </c>
      <c r="D18" s="1" t="s">
        <v>290</v>
      </c>
      <c r="E18" s="1"/>
      <c r="F18" s="11"/>
      <c r="G18" s="11">
        <v>0</v>
      </c>
      <c r="H18" s="11">
        <f t="shared" si="3"/>
        <v>0</v>
      </c>
      <c r="I18" s="11">
        <f t="shared" si="1"/>
        <v>0</v>
      </c>
      <c r="J18" s="189">
        <f>+G18*10%</f>
        <v>0</v>
      </c>
      <c r="K18" s="189">
        <f>+H18*100%</f>
        <v>0</v>
      </c>
    </row>
    <row r="19" spans="1:11">
      <c r="A19" s="1"/>
      <c r="B19" s="183">
        <v>43780</v>
      </c>
      <c r="C19" s="181">
        <v>1401</v>
      </c>
      <c r="D19" s="1" t="s">
        <v>253</v>
      </c>
      <c r="E19" s="1"/>
      <c r="F19" s="11"/>
      <c r="G19" s="11">
        <v>0</v>
      </c>
      <c r="H19" s="11">
        <f t="shared" si="3"/>
        <v>0</v>
      </c>
      <c r="I19" s="11">
        <f t="shared" si="1"/>
        <v>0</v>
      </c>
      <c r="J19" s="11">
        <v>0</v>
      </c>
      <c r="K19" s="11">
        <v>0</v>
      </c>
    </row>
    <row r="20" spans="1:11">
      <c r="A20" s="1"/>
      <c r="B20" s="1"/>
      <c r="C20" s="181"/>
      <c r="D20" s="1"/>
      <c r="E20" s="1"/>
      <c r="F20" s="11"/>
      <c r="G20" s="11"/>
      <c r="H20" s="11">
        <f t="shared" si="3"/>
        <v>0</v>
      </c>
      <c r="I20" s="11">
        <f t="shared" si="1"/>
        <v>0</v>
      </c>
      <c r="J20" s="11">
        <f t="shared" si="4"/>
        <v>0</v>
      </c>
      <c r="K20" s="11">
        <f t="shared" si="2"/>
        <v>0</v>
      </c>
    </row>
    <row r="21" spans="1:11" ht="15.75" thickBot="1">
      <c r="A21" s="2"/>
      <c r="B21" s="2"/>
      <c r="C21" s="182"/>
      <c r="D21" s="2"/>
      <c r="E21" s="79">
        <f t="shared" ref="E21:K21" si="5">SUM(E8:E20)</f>
        <v>0</v>
      </c>
      <c r="F21" s="79">
        <f t="shared" si="5"/>
        <v>1900</v>
      </c>
      <c r="G21" s="79">
        <f t="shared" si="5"/>
        <v>2753.1</v>
      </c>
      <c r="H21" s="79">
        <f t="shared" si="5"/>
        <v>330.37199999999996</v>
      </c>
      <c r="I21" s="79">
        <f t="shared" si="5"/>
        <v>4983.4720000000007</v>
      </c>
      <c r="J21" s="79">
        <f t="shared" si="5"/>
        <v>231.47020000000003</v>
      </c>
      <c r="K21" s="79">
        <f t="shared" si="5"/>
        <v>289.57199999999995</v>
      </c>
    </row>
    <row r="22" spans="1:11">
      <c r="A22" s="1"/>
      <c r="B22" s="1"/>
      <c r="C22" s="181"/>
      <c r="D22" s="1"/>
      <c r="E22" s="1"/>
      <c r="F22" s="4"/>
      <c r="G22" s="4"/>
      <c r="H22" s="1"/>
      <c r="I22" s="1"/>
      <c r="J22" s="1"/>
    </row>
    <row r="23" spans="1:11">
      <c r="A23" s="2" t="s">
        <v>6</v>
      </c>
      <c r="B23" s="2"/>
      <c r="C23" s="181"/>
      <c r="D23" s="1"/>
      <c r="E23" s="1"/>
      <c r="F23" s="1"/>
      <c r="G23" s="1"/>
      <c r="H23" s="1"/>
      <c r="I23" s="1"/>
      <c r="J23" s="3"/>
    </row>
    <row r="24" spans="1:11" ht="15.75" thickBot="1">
      <c r="A24" s="1"/>
      <c r="B24" s="1"/>
      <c r="C24" s="3"/>
      <c r="D24" s="3"/>
      <c r="E24" s="3"/>
      <c r="F24" s="3"/>
      <c r="G24" s="3"/>
      <c r="H24" s="3"/>
      <c r="I24" s="3"/>
      <c r="J24" s="4"/>
    </row>
    <row r="25" spans="1:11" ht="24" customHeight="1" thickTop="1" thickBot="1">
      <c r="A25" s="1" t="s">
        <v>1</v>
      </c>
      <c r="B25" s="38" t="s">
        <v>231</v>
      </c>
      <c r="C25" s="38" t="s">
        <v>2</v>
      </c>
      <c r="D25" s="38" t="s">
        <v>3</v>
      </c>
      <c r="E25" s="38" t="s">
        <v>7</v>
      </c>
      <c r="F25" s="38" t="s">
        <v>8</v>
      </c>
      <c r="G25" s="38" t="s">
        <v>4</v>
      </c>
      <c r="H25" s="38" t="s">
        <v>5</v>
      </c>
      <c r="J25" s="4"/>
    </row>
    <row r="26" spans="1:11" ht="15.75" thickTop="1">
      <c r="A26" s="1"/>
      <c r="B26" s="183">
        <v>43774</v>
      </c>
      <c r="C26" s="13">
        <v>1873</v>
      </c>
      <c r="D26" s="67" t="s">
        <v>336</v>
      </c>
      <c r="E26" s="30"/>
      <c r="F26" s="30">
        <v>18.75</v>
      </c>
      <c r="G26" s="4">
        <f>+F26*0.12</f>
        <v>2.25</v>
      </c>
      <c r="H26" s="4">
        <f>+E26+F26+G26</f>
        <v>21</v>
      </c>
    </row>
    <row r="27" spans="1:11">
      <c r="A27" s="1"/>
      <c r="B27" s="183">
        <v>43784</v>
      </c>
      <c r="C27" s="13">
        <v>38314</v>
      </c>
      <c r="D27" s="67" t="s">
        <v>337</v>
      </c>
      <c r="E27" s="30"/>
      <c r="F27" s="30">
        <v>32.14</v>
      </c>
      <c r="G27" s="4">
        <f t="shared" ref="G27:G33" si="6">+F27*0.12</f>
        <v>3.8567999999999998</v>
      </c>
      <c r="H27" s="4">
        <f t="shared" ref="H27:H33" si="7">+E27+F27+G27</f>
        <v>35.9968</v>
      </c>
      <c r="J27" s="4"/>
    </row>
    <row r="28" spans="1:11">
      <c r="A28" s="183"/>
      <c r="B28" s="183">
        <v>43784</v>
      </c>
      <c r="C28" s="13">
        <v>373461</v>
      </c>
      <c r="D28" s="67" t="s">
        <v>338</v>
      </c>
      <c r="E28" s="30">
        <v>2</v>
      </c>
      <c r="F28" s="30"/>
      <c r="G28" s="4">
        <f t="shared" si="6"/>
        <v>0</v>
      </c>
      <c r="H28" s="4">
        <f t="shared" si="7"/>
        <v>2</v>
      </c>
      <c r="J28" s="4"/>
    </row>
    <row r="29" spans="1:11">
      <c r="A29" s="1"/>
      <c r="B29" s="183">
        <v>43782</v>
      </c>
      <c r="C29" s="13">
        <v>23995</v>
      </c>
      <c r="D29" s="67" t="s">
        <v>339</v>
      </c>
      <c r="E29" s="30"/>
      <c r="F29" s="30">
        <v>16</v>
      </c>
      <c r="G29" s="4">
        <f t="shared" si="6"/>
        <v>1.92</v>
      </c>
      <c r="H29" s="4">
        <f t="shared" si="7"/>
        <v>17.920000000000002</v>
      </c>
      <c r="J29" s="4"/>
    </row>
    <row r="30" spans="1:11">
      <c r="A30" s="1"/>
      <c r="B30" s="183"/>
      <c r="C30" s="13"/>
      <c r="D30" s="67"/>
      <c r="E30" s="30"/>
      <c r="F30" s="30"/>
      <c r="G30" s="4">
        <f t="shared" si="6"/>
        <v>0</v>
      </c>
      <c r="H30" s="4">
        <f t="shared" si="7"/>
        <v>0</v>
      </c>
      <c r="J30" s="4"/>
    </row>
    <row r="31" spans="1:11">
      <c r="A31" s="1"/>
      <c r="B31" s="183"/>
      <c r="C31" s="13"/>
      <c r="D31" s="67"/>
      <c r="E31" s="30"/>
      <c r="F31" s="30"/>
      <c r="G31" s="4">
        <f t="shared" si="6"/>
        <v>0</v>
      </c>
      <c r="H31" s="4">
        <f t="shared" si="7"/>
        <v>0</v>
      </c>
      <c r="J31" s="4"/>
    </row>
    <row r="32" spans="1:11">
      <c r="A32" s="1"/>
      <c r="B32" s="183"/>
      <c r="C32" s="13"/>
      <c r="D32" s="67"/>
      <c r="E32" s="30"/>
      <c r="F32" s="30"/>
      <c r="G32" s="4">
        <f t="shared" si="6"/>
        <v>0</v>
      </c>
      <c r="H32" s="4">
        <f t="shared" si="7"/>
        <v>0</v>
      </c>
      <c r="J32" s="4"/>
    </row>
    <row r="33" spans="1:10">
      <c r="A33" s="1"/>
      <c r="B33" s="183"/>
      <c r="C33" s="13"/>
      <c r="D33" s="67"/>
      <c r="E33" s="30"/>
      <c r="F33" s="30"/>
      <c r="G33" s="4">
        <f t="shared" si="6"/>
        <v>0</v>
      </c>
      <c r="H33" s="4">
        <f t="shared" si="7"/>
        <v>0</v>
      </c>
      <c r="J33" s="4"/>
    </row>
    <row r="34" spans="1:10" ht="15.75" thickBot="1">
      <c r="A34" s="2"/>
      <c r="B34" s="2"/>
      <c r="C34" s="2"/>
      <c r="D34" s="2"/>
      <c r="E34" s="8">
        <f>SUM(E26:E33)</f>
        <v>2</v>
      </c>
      <c r="F34" s="8">
        <f>SUM(F26:F33)</f>
        <v>66.89</v>
      </c>
      <c r="G34" s="8">
        <f>SUM(G26:G33)</f>
        <v>8.0267999999999997</v>
      </c>
      <c r="H34" s="8">
        <f>SUM(H26:H33)</f>
        <v>76.916799999999995</v>
      </c>
    </row>
    <row r="35" spans="1:10">
      <c r="A35" s="2"/>
      <c r="B35" s="2"/>
      <c r="C35" s="2"/>
      <c r="D35" s="2"/>
      <c r="E35" s="2"/>
      <c r="F35" s="10"/>
      <c r="G35" s="10"/>
      <c r="H35" s="10"/>
      <c r="I35" s="10"/>
      <c r="J35" s="10"/>
    </row>
    <row r="36" spans="1:10">
      <c r="A36" s="2"/>
      <c r="B36" s="2"/>
      <c r="C36" s="2"/>
      <c r="D36" s="2"/>
      <c r="E36" s="2"/>
      <c r="F36" s="10"/>
      <c r="G36" s="10"/>
      <c r="H36" s="10"/>
      <c r="I36" s="10"/>
      <c r="J36" s="10"/>
    </row>
    <row r="38" spans="1:10">
      <c r="A38" s="1"/>
      <c r="B38" s="1"/>
      <c r="C38" s="1"/>
      <c r="D38" s="1" t="s">
        <v>78</v>
      </c>
      <c r="E38" s="1"/>
      <c r="G38" s="11">
        <f>+G21</f>
        <v>2753.1</v>
      </c>
      <c r="H38" s="11">
        <v>0.12</v>
      </c>
      <c r="I38" s="11">
        <f>+G38*0.12</f>
        <v>330.37199999999996</v>
      </c>
      <c r="J38" s="1"/>
    </row>
    <row r="39" spans="1:10">
      <c r="A39" s="1"/>
      <c r="B39" s="1"/>
      <c r="C39" s="1"/>
      <c r="D39" s="1" t="s">
        <v>42</v>
      </c>
      <c r="E39" s="1"/>
      <c r="G39" s="11">
        <f>+F21</f>
        <v>1900</v>
      </c>
      <c r="H39" s="11"/>
      <c r="I39" s="11"/>
      <c r="J39" s="1"/>
    </row>
    <row r="40" spans="1:10">
      <c r="A40" s="1"/>
      <c r="B40" s="1"/>
      <c r="C40" s="1"/>
      <c r="D40" s="1" t="s">
        <v>54</v>
      </c>
      <c r="E40" s="1"/>
      <c r="G40" s="80">
        <f>+E21</f>
        <v>0</v>
      </c>
      <c r="H40" s="11"/>
      <c r="I40" s="80"/>
      <c r="J40" s="1"/>
    </row>
    <row r="41" spans="1:10">
      <c r="A41" s="1"/>
      <c r="B41" s="1"/>
      <c r="C41" s="1"/>
      <c r="D41" s="2" t="s">
        <v>73</v>
      </c>
      <c r="E41" s="2"/>
      <c r="F41" s="22"/>
      <c r="G41" s="81">
        <f>SUM(G38:G40)</f>
        <v>4653.1000000000004</v>
      </c>
      <c r="H41" s="81"/>
      <c r="I41" s="81">
        <f>SUM(I38:I40)</f>
        <v>330.37199999999996</v>
      </c>
      <c r="J41" s="1"/>
    </row>
    <row r="42" spans="1:10">
      <c r="A42" s="1"/>
      <c r="B42" s="1"/>
      <c r="C42" s="1"/>
      <c r="D42" s="1"/>
      <c r="E42" s="1"/>
      <c r="G42" s="11"/>
      <c r="H42" s="11"/>
      <c r="I42" s="11"/>
      <c r="J42" s="1"/>
    </row>
    <row r="43" spans="1:10">
      <c r="A43" s="1"/>
      <c r="B43" s="1"/>
      <c r="C43" s="1"/>
      <c r="D43" s="1" t="s">
        <v>10</v>
      </c>
      <c r="E43" s="1"/>
      <c r="G43" s="11">
        <f>+E34</f>
        <v>2</v>
      </c>
      <c r="H43" s="11"/>
      <c r="I43" s="11">
        <v>0</v>
      </c>
      <c r="J43" s="1"/>
    </row>
    <row r="44" spans="1:10">
      <c r="A44" s="1"/>
      <c r="B44" s="1"/>
      <c r="C44" s="1"/>
      <c r="D44" s="1" t="s">
        <v>11</v>
      </c>
      <c r="E44" s="1"/>
      <c r="G44" s="80">
        <f>+F34</f>
        <v>66.89</v>
      </c>
      <c r="H44" s="11">
        <v>0.12</v>
      </c>
      <c r="I44" s="80">
        <f>+G44*0.12</f>
        <v>8.0267999999999997</v>
      </c>
      <c r="J44" s="1"/>
    </row>
    <row r="45" spans="1:10">
      <c r="A45" s="1"/>
      <c r="B45" s="1"/>
      <c r="C45" s="1"/>
      <c r="D45" s="2" t="s">
        <v>72</v>
      </c>
      <c r="E45" s="2"/>
      <c r="F45" s="22"/>
      <c r="G45" s="81">
        <f>SUM(G43:G44)</f>
        <v>68.89</v>
      </c>
      <c r="H45" s="81"/>
      <c r="I45" s="81">
        <f>SUM(I43:I44)</f>
        <v>8.0267999999999997</v>
      </c>
      <c r="J45" s="1"/>
    </row>
    <row r="46" spans="1:10">
      <c r="A46" s="1"/>
      <c r="B46" s="1"/>
      <c r="C46" s="1"/>
      <c r="D46" s="2"/>
      <c r="E46" s="2"/>
      <c r="F46" s="22"/>
      <c r="G46" s="81"/>
      <c r="H46" s="81"/>
      <c r="I46" s="81"/>
      <c r="J46" s="1"/>
    </row>
    <row r="47" spans="1:10">
      <c r="A47" s="1"/>
      <c r="B47" s="1"/>
      <c r="C47" s="1"/>
      <c r="D47" s="155" t="s">
        <v>154</v>
      </c>
      <c r="E47" s="155"/>
      <c r="F47" s="156"/>
      <c r="G47" s="157"/>
      <c r="H47" s="157"/>
      <c r="I47" s="259">
        <f>+G38/G41</f>
        <v>0.59167006941608813</v>
      </c>
      <c r="J47" s="1"/>
    </row>
    <row r="48" spans="1:10">
      <c r="A48" s="1"/>
      <c r="B48" s="1"/>
      <c r="C48" s="1"/>
      <c r="D48" s="2" t="s">
        <v>155</v>
      </c>
      <c r="E48" s="2"/>
      <c r="F48" s="22"/>
      <c r="G48" s="81"/>
      <c r="H48" s="81"/>
      <c r="I48" s="81">
        <f>+I45*I47</f>
        <v>4.7492173131890558</v>
      </c>
      <c r="J48" s="1"/>
    </row>
    <row r="49" spans="1:11">
      <c r="A49" s="1"/>
      <c r="B49" s="1"/>
      <c r="C49" s="1"/>
      <c r="D49" s="1"/>
      <c r="E49" s="1"/>
      <c r="G49" s="11"/>
      <c r="H49" s="11"/>
      <c r="I49" s="11"/>
      <c r="J49" s="1"/>
    </row>
    <row r="50" spans="1:11">
      <c r="A50" s="1"/>
      <c r="B50" s="1"/>
      <c r="C50" s="1"/>
      <c r="D50" s="68" t="s">
        <v>70</v>
      </c>
      <c r="E50" s="1"/>
      <c r="G50" s="11"/>
      <c r="H50" s="11"/>
      <c r="I50" s="84">
        <f>+I41-I48</f>
        <v>325.62278268681092</v>
      </c>
      <c r="J50" s="1"/>
    </row>
    <row r="51" spans="1:11">
      <c r="A51" s="1"/>
      <c r="B51" s="1"/>
      <c r="C51" s="1"/>
      <c r="D51" s="1"/>
      <c r="E51" s="1"/>
      <c r="G51" s="11"/>
      <c r="H51" s="11"/>
      <c r="I51" s="11"/>
      <c r="J51" s="1"/>
    </row>
    <row r="52" spans="1:11">
      <c r="A52" s="1"/>
      <c r="B52" s="1"/>
      <c r="C52" s="1"/>
      <c r="D52" s="1" t="s">
        <v>13</v>
      </c>
      <c r="E52" s="1"/>
      <c r="G52" s="11"/>
      <c r="H52" s="11"/>
      <c r="I52" s="11">
        <f>-K21</f>
        <v>-289.57199999999995</v>
      </c>
      <c r="J52" s="1"/>
    </row>
    <row r="53" spans="1:11">
      <c r="A53" s="1"/>
      <c r="B53" s="1"/>
      <c r="C53" s="1"/>
      <c r="D53" s="1"/>
      <c r="E53" s="1"/>
      <c r="G53" s="11"/>
      <c r="H53" s="11"/>
      <c r="I53" s="11"/>
      <c r="J53" s="1"/>
    </row>
    <row r="54" spans="1:11">
      <c r="A54" s="1"/>
      <c r="B54" s="1"/>
      <c r="C54" s="1"/>
      <c r="D54" s="68" t="s">
        <v>12</v>
      </c>
      <c r="E54" s="1"/>
      <c r="G54" s="11"/>
      <c r="H54" s="11"/>
      <c r="I54" s="84">
        <f>+I50+I52</f>
        <v>36.050782686810976</v>
      </c>
      <c r="J54" s="1"/>
    </row>
    <row r="55" spans="1:11">
      <c r="D55" s="1"/>
      <c r="E55" s="1"/>
      <c r="G55" s="11"/>
      <c r="H55" s="11"/>
      <c r="I55" s="11"/>
      <c r="J55" s="1"/>
    </row>
    <row r="56" spans="1:11" ht="15.75">
      <c r="D56" s="70" t="s">
        <v>74</v>
      </c>
      <c r="F56" s="74" t="s">
        <v>75</v>
      </c>
      <c r="G56" s="71">
        <v>605</v>
      </c>
      <c r="I56" s="72">
        <f>+OCTUBRE!H63</f>
        <v>0</v>
      </c>
      <c r="J56" s="1"/>
    </row>
    <row r="57" spans="1:11" ht="15.75">
      <c r="D57" s="70" t="s">
        <v>74</v>
      </c>
      <c r="F57" s="74" t="s">
        <v>76</v>
      </c>
      <c r="G57" s="71">
        <v>606</v>
      </c>
      <c r="I57" s="72">
        <f>+OCTUBRE!H64</f>
        <v>3795.7063178911858</v>
      </c>
      <c r="J57" s="1"/>
    </row>
    <row r="58" spans="1:11" ht="15.75">
      <c r="D58" s="70"/>
      <c r="G58" s="71"/>
      <c r="I58" s="73"/>
      <c r="K58" s="17"/>
    </row>
    <row r="59" spans="1:11" ht="15.75">
      <c r="D59" s="70"/>
      <c r="G59" s="71"/>
      <c r="I59" s="73"/>
      <c r="J59" s="1"/>
    </row>
    <row r="60" spans="1:11" ht="15.75">
      <c r="D60" s="70" t="s">
        <v>77</v>
      </c>
      <c r="G60" s="71">
        <v>615</v>
      </c>
      <c r="I60" s="73">
        <f>+I56</f>
        <v>0</v>
      </c>
    </row>
    <row r="61" spans="1:11" ht="15.75">
      <c r="D61" s="70" t="s">
        <v>77</v>
      </c>
      <c r="G61" s="71">
        <v>617</v>
      </c>
      <c r="I61" s="72">
        <f>+I57+I54</f>
        <v>3831.7571005779969</v>
      </c>
    </row>
  </sheetData>
  <pageMargins left="0.70866141732283472" right="0.70866141732283472" top="0.74803149606299213" bottom="0.74803149606299213" header="0.31496062992125984" footer="0.31496062992125984"/>
  <pageSetup scale="60" orientation="portrait" verticalDpi="14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7" tint="0.39997558519241921"/>
    <pageSetUpPr fitToPage="1"/>
  </sheetPr>
  <dimension ref="A1:J65"/>
  <sheetViews>
    <sheetView workbookViewId="0">
      <selection activeCell="F16" sqref="F16"/>
    </sheetView>
  </sheetViews>
  <sheetFormatPr baseColWidth="10" defaultRowHeight="15"/>
  <cols>
    <col min="1" max="1" width="8.140625" customWidth="1"/>
    <col min="2" max="2" width="16.140625" customWidth="1"/>
    <col min="3" max="3" width="34.140625" customWidth="1"/>
    <col min="4" max="4" width="12.5703125" bestFit="1" customWidth="1"/>
    <col min="8" max="8" width="17.28515625" bestFit="1" customWidth="1"/>
    <col min="10" max="10" width="14" customWidth="1"/>
  </cols>
  <sheetData>
    <row r="1" spans="1:10">
      <c r="A1" s="2"/>
      <c r="B1" s="1"/>
      <c r="C1" s="1"/>
      <c r="D1" s="1"/>
      <c r="E1" s="4"/>
      <c r="F1" s="4"/>
      <c r="G1" s="4"/>
      <c r="H1" s="4"/>
      <c r="I1" s="4"/>
    </row>
    <row r="2" spans="1:10" ht="15.75" thickBot="1">
      <c r="A2" s="2" t="s">
        <v>71</v>
      </c>
      <c r="B2" s="1"/>
      <c r="C2" s="1"/>
      <c r="D2" s="1"/>
      <c r="E2" s="4"/>
      <c r="F2" s="4"/>
      <c r="G2" s="4"/>
      <c r="H2" s="4"/>
      <c r="I2" s="4"/>
    </row>
    <row r="3" spans="1:10" ht="15.75" thickBot="1">
      <c r="A3" s="268" t="s">
        <v>273</v>
      </c>
      <c r="B3" s="269"/>
      <c r="C3" s="1"/>
      <c r="D3" s="1"/>
      <c r="E3" s="1"/>
      <c r="F3" s="1"/>
      <c r="G3" s="1"/>
      <c r="H3" s="1"/>
      <c r="I3" s="1"/>
    </row>
    <row r="4" spans="1:10">
      <c r="A4" s="6"/>
      <c r="B4" s="1"/>
      <c r="C4" s="1"/>
      <c r="D4" s="1"/>
      <c r="E4" s="1"/>
      <c r="F4" s="1"/>
      <c r="G4" s="1"/>
      <c r="H4" s="1"/>
      <c r="I4" s="1"/>
    </row>
    <row r="5" spans="1:10">
      <c r="A5" s="2" t="s">
        <v>0</v>
      </c>
      <c r="B5" s="1"/>
      <c r="C5" s="1"/>
      <c r="D5" s="1"/>
      <c r="E5" s="1"/>
      <c r="F5" s="1"/>
      <c r="G5" s="1"/>
      <c r="H5" s="1"/>
      <c r="I5" s="1"/>
    </row>
    <row r="6" spans="1:10" ht="15.75" thickBot="1">
      <c r="A6" s="1"/>
      <c r="B6" s="3"/>
      <c r="C6" s="3"/>
      <c r="D6" s="3"/>
      <c r="E6" s="12"/>
      <c r="F6" s="12"/>
      <c r="G6" s="12"/>
      <c r="H6" s="12"/>
      <c r="I6" s="12"/>
    </row>
    <row r="7" spans="1:10" ht="25.5" thickTop="1" thickBot="1">
      <c r="A7" s="1" t="s">
        <v>1</v>
      </c>
      <c r="B7" s="38" t="s">
        <v>2</v>
      </c>
      <c r="C7" s="38" t="s">
        <v>3</v>
      </c>
      <c r="D7" s="38" t="s">
        <v>54</v>
      </c>
      <c r="E7" s="38" t="s">
        <v>52</v>
      </c>
      <c r="F7" s="38" t="s">
        <v>49</v>
      </c>
      <c r="G7" s="38" t="s">
        <v>4</v>
      </c>
      <c r="H7" s="38" t="s">
        <v>9</v>
      </c>
      <c r="I7" s="38" t="s">
        <v>50</v>
      </c>
      <c r="J7" s="38" t="s">
        <v>51</v>
      </c>
    </row>
    <row r="8" spans="1:10" ht="15.75" thickTop="1">
      <c r="A8" s="1"/>
      <c r="B8" s="1">
        <v>1402</v>
      </c>
      <c r="C8" s="1" t="s">
        <v>248</v>
      </c>
      <c r="D8" s="1"/>
      <c r="E8" s="11"/>
      <c r="F8" s="11">
        <v>200</v>
      </c>
      <c r="G8" s="11">
        <f>+F8*0.12</f>
        <v>24</v>
      </c>
      <c r="H8" s="11">
        <f>+D8+E8+F8+G8</f>
        <v>224</v>
      </c>
      <c r="I8" s="11">
        <v>0</v>
      </c>
      <c r="J8" s="11">
        <v>0</v>
      </c>
    </row>
    <row r="9" spans="1:10">
      <c r="A9" s="1"/>
      <c r="B9" s="1">
        <v>1403</v>
      </c>
      <c r="C9" s="1" t="s">
        <v>292</v>
      </c>
      <c r="D9" s="1"/>
      <c r="E9" s="11"/>
      <c r="F9" s="11">
        <v>100</v>
      </c>
      <c r="G9" s="11">
        <f>+F9*0.12</f>
        <v>12</v>
      </c>
      <c r="H9" s="11">
        <f t="shared" ref="H9:H15" si="0">+D9+E9+F9+G9</f>
        <v>112</v>
      </c>
      <c r="I9" s="11">
        <v>0</v>
      </c>
      <c r="J9" s="11">
        <v>0</v>
      </c>
    </row>
    <row r="10" spans="1:10">
      <c r="A10" s="1"/>
      <c r="B10" s="1">
        <v>1404</v>
      </c>
      <c r="C10" s="1" t="s">
        <v>328</v>
      </c>
      <c r="D10" s="1"/>
      <c r="E10" s="11"/>
      <c r="F10" s="11">
        <v>0</v>
      </c>
      <c r="G10" s="11">
        <f t="shared" ref="G10:G16" si="1">+F10*0.12</f>
        <v>0</v>
      </c>
      <c r="H10" s="11">
        <f t="shared" si="0"/>
        <v>0</v>
      </c>
      <c r="I10" s="11">
        <f t="shared" ref="I10:I16" si="2">+F10*10%</f>
        <v>0</v>
      </c>
      <c r="J10" s="11">
        <f t="shared" ref="J10:J16" si="3">+G10*100%</f>
        <v>0</v>
      </c>
    </row>
    <row r="11" spans="1:10">
      <c r="A11" s="1"/>
      <c r="B11" s="1">
        <v>1405</v>
      </c>
      <c r="C11" s="1" t="s">
        <v>328</v>
      </c>
      <c r="D11" s="1"/>
      <c r="E11" s="11"/>
      <c r="F11" s="11">
        <v>0</v>
      </c>
      <c r="G11" s="11">
        <f t="shared" si="1"/>
        <v>0</v>
      </c>
      <c r="H11" s="11">
        <f t="shared" si="0"/>
        <v>0</v>
      </c>
      <c r="I11" s="11">
        <v>0</v>
      </c>
      <c r="J11" s="11">
        <v>0</v>
      </c>
    </row>
    <row r="12" spans="1:10">
      <c r="A12" s="1"/>
      <c r="B12" s="1">
        <v>1406</v>
      </c>
      <c r="C12" s="1" t="s">
        <v>250</v>
      </c>
      <c r="D12" s="1"/>
      <c r="E12" s="11"/>
      <c r="F12" s="11">
        <v>491.99</v>
      </c>
      <c r="G12" s="11">
        <f t="shared" si="1"/>
        <v>59.038800000000002</v>
      </c>
      <c r="H12" s="11">
        <f t="shared" si="0"/>
        <v>551.02880000000005</v>
      </c>
      <c r="I12" s="11">
        <f>+F12*8%</f>
        <v>39.359200000000001</v>
      </c>
      <c r="J12" s="11">
        <f t="shared" si="3"/>
        <v>59.038800000000002</v>
      </c>
    </row>
    <row r="13" spans="1:10">
      <c r="A13" s="1"/>
      <c r="B13" s="1">
        <v>1407</v>
      </c>
      <c r="C13" s="1" t="s">
        <v>340</v>
      </c>
      <c r="D13" s="1"/>
      <c r="E13" s="11"/>
      <c r="F13" s="11">
        <v>40</v>
      </c>
      <c r="G13" s="11">
        <f t="shared" si="1"/>
        <v>4.8</v>
      </c>
      <c r="H13" s="11">
        <v>0</v>
      </c>
      <c r="I13" s="11">
        <v>0</v>
      </c>
      <c r="J13" s="11">
        <v>0</v>
      </c>
    </row>
    <row r="14" spans="1:10">
      <c r="A14" s="1"/>
      <c r="B14" s="1">
        <v>1408</v>
      </c>
      <c r="C14" s="1" t="s">
        <v>312</v>
      </c>
      <c r="D14" s="1"/>
      <c r="E14" s="11"/>
      <c r="F14" s="11">
        <v>122.23</v>
      </c>
      <c r="G14" s="11">
        <f t="shared" si="1"/>
        <v>14.6676</v>
      </c>
      <c r="H14" s="11">
        <f t="shared" si="0"/>
        <v>136.89760000000001</v>
      </c>
      <c r="I14" s="11">
        <f t="shared" si="2"/>
        <v>12.223000000000001</v>
      </c>
      <c r="J14" s="11">
        <f t="shared" si="3"/>
        <v>14.6676</v>
      </c>
    </row>
    <row r="15" spans="1:10">
      <c r="A15" s="1"/>
      <c r="B15" s="1">
        <v>1409</v>
      </c>
      <c r="C15" s="1" t="s">
        <v>314</v>
      </c>
      <c r="D15" s="1"/>
      <c r="E15" s="11">
        <v>250</v>
      </c>
      <c r="F15" s="11">
        <v>5000</v>
      </c>
      <c r="G15" s="11">
        <f t="shared" si="1"/>
        <v>600</v>
      </c>
      <c r="H15" s="11">
        <f t="shared" si="0"/>
        <v>5850</v>
      </c>
      <c r="I15" s="11">
        <v>0</v>
      </c>
      <c r="J15" s="11">
        <v>0</v>
      </c>
    </row>
    <row r="16" spans="1:10">
      <c r="A16" s="1"/>
      <c r="B16" s="1">
        <v>1410</v>
      </c>
      <c r="C16" s="1" t="s">
        <v>303</v>
      </c>
      <c r="D16" s="1"/>
      <c r="E16" s="11"/>
      <c r="F16" s="11">
        <v>577.78</v>
      </c>
      <c r="G16" s="11">
        <f t="shared" si="1"/>
        <v>69.33359999999999</v>
      </c>
      <c r="H16" s="11">
        <f t="shared" ref="H16:H25" si="4">+D16+E16+F16+G16</f>
        <v>647.11359999999991</v>
      </c>
      <c r="I16" s="11">
        <f t="shared" si="2"/>
        <v>57.777999999999999</v>
      </c>
      <c r="J16" s="11">
        <f t="shared" si="3"/>
        <v>69.33359999999999</v>
      </c>
    </row>
    <row r="17" spans="1:10">
      <c r="A17" s="1"/>
      <c r="B17" s="1">
        <v>1411</v>
      </c>
      <c r="C17" s="1" t="s">
        <v>341</v>
      </c>
      <c r="D17" s="1"/>
      <c r="E17" s="11"/>
      <c r="F17" s="11">
        <v>144.44</v>
      </c>
      <c r="G17" s="11">
        <f t="shared" ref="G17:G25" si="5">+F17*0.12</f>
        <v>17.332799999999999</v>
      </c>
      <c r="H17" s="11">
        <f t="shared" si="4"/>
        <v>161.77279999999999</v>
      </c>
      <c r="I17" s="11">
        <f t="shared" ref="I17" si="6">+F17*0.1</f>
        <v>14.444000000000001</v>
      </c>
      <c r="J17" s="11">
        <f t="shared" ref="J17" si="7">+G17*100/100</f>
        <v>17.332799999999999</v>
      </c>
    </row>
    <row r="18" spans="1:10">
      <c r="A18" s="1"/>
      <c r="B18" s="1">
        <v>1412</v>
      </c>
      <c r="C18" s="1" t="s">
        <v>328</v>
      </c>
      <c r="D18" s="1"/>
      <c r="E18" s="11"/>
      <c r="F18" s="11">
        <v>0</v>
      </c>
      <c r="G18" s="11">
        <f t="shared" si="5"/>
        <v>0</v>
      </c>
      <c r="H18" s="11">
        <f t="shared" si="4"/>
        <v>0</v>
      </c>
      <c r="I18" s="11">
        <v>0</v>
      </c>
      <c r="J18" s="11">
        <v>0</v>
      </c>
    </row>
    <row r="19" spans="1:10">
      <c r="A19" s="1"/>
      <c r="B19" s="1">
        <v>1413</v>
      </c>
      <c r="C19" s="1" t="s">
        <v>328</v>
      </c>
      <c r="D19" s="1"/>
      <c r="E19" s="11"/>
      <c r="F19" s="11">
        <v>0</v>
      </c>
      <c r="G19" s="11">
        <f t="shared" si="5"/>
        <v>0</v>
      </c>
      <c r="H19" s="11">
        <f t="shared" si="4"/>
        <v>0</v>
      </c>
      <c r="I19" s="11">
        <v>0</v>
      </c>
      <c r="J19" s="11">
        <v>0</v>
      </c>
    </row>
    <row r="20" spans="1:10">
      <c r="A20" s="1"/>
      <c r="B20" s="1">
        <v>1414</v>
      </c>
      <c r="C20" s="1" t="s">
        <v>303</v>
      </c>
      <c r="D20" s="1"/>
      <c r="E20" s="11"/>
      <c r="F20" s="11">
        <v>355.56</v>
      </c>
      <c r="G20" s="11">
        <f t="shared" si="5"/>
        <v>42.667200000000001</v>
      </c>
      <c r="H20" s="11">
        <f t="shared" si="4"/>
        <v>398.22719999999998</v>
      </c>
      <c r="I20" s="11">
        <f t="shared" ref="I20:I24" si="8">+F20*10%</f>
        <v>35.556000000000004</v>
      </c>
      <c r="J20" s="11">
        <f t="shared" ref="J20:J24" si="9">+G20*100%</f>
        <v>42.667200000000001</v>
      </c>
    </row>
    <row r="21" spans="1:10">
      <c r="A21" s="1"/>
      <c r="B21" s="1">
        <v>1415</v>
      </c>
      <c r="C21" s="1" t="s">
        <v>341</v>
      </c>
      <c r="D21" s="1"/>
      <c r="E21" s="11"/>
      <c r="F21" s="11">
        <v>866.68</v>
      </c>
      <c r="G21" s="11">
        <f t="shared" si="5"/>
        <v>104.0016</v>
      </c>
      <c r="H21" s="11">
        <f t="shared" si="4"/>
        <v>970.68159999999989</v>
      </c>
      <c r="I21" s="11">
        <f t="shared" si="8"/>
        <v>86.668000000000006</v>
      </c>
      <c r="J21" s="11">
        <f t="shared" si="9"/>
        <v>104.0016</v>
      </c>
    </row>
    <row r="22" spans="1:10">
      <c r="A22" s="1"/>
      <c r="B22" s="1">
        <v>1416</v>
      </c>
      <c r="C22" s="1" t="s">
        <v>342</v>
      </c>
      <c r="D22" s="1"/>
      <c r="E22" s="11"/>
      <c r="F22" s="11">
        <v>1444.44</v>
      </c>
      <c r="G22" s="11">
        <f t="shared" si="5"/>
        <v>173.33279999999999</v>
      </c>
      <c r="H22" s="11">
        <f t="shared" si="4"/>
        <v>1617.7728</v>
      </c>
      <c r="I22" s="11">
        <f t="shared" si="8"/>
        <v>144.44400000000002</v>
      </c>
      <c r="J22" s="11">
        <f t="shared" si="9"/>
        <v>173.33279999999999</v>
      </c>
    </row>
    <row r="23" spans="1:10">
      <c r="A23" s="1"/>
      <c r="B23" s="1">
        <v>1417</v>
      </c>
      <c r="C23" s="1" t="s">
        <v>343</v>
      </c>
      <c r="D23" s="1"/>
      <c r="E23" s="11"/>
      <c r="F23" s="11">
        <v>555.55999999999995</v>
      </c>
      <c r="G23" s="11">
        <f t="shared" si="5"/>
        <v>66.667199999999994</v>
      </c>
      <c r="H23" s="11">
        <f t="shared" si="4"/>
        <v>622.22719999999993</v>
      </c>
      <c r="I23" s="11">
        <f t="shared" si="8"/>
        <v>55.555999999999997</v>
      </c>
      <c r="J23" s="11">
        <f t="shared" si="9"/>
        <v>66.667199999999994</v>
      </c>
    </row>
    <row r="24" spans="1:10">
      <c r="A24" s="1"/>
      <c r="B24" s="1">
        <v>1418</v>
      </c>
      <c r="C24" s="1" t="s">
        <v>328</v>
      </c>
      <c r="D24" s="1"/>
      <c r="E24" s="11"/>
      <c r="F24" s="11">
        <v>0</v>
      </c>
      <c r="G24" s="11">
        <f t="shared" si="5"/>
        <v>0</v>
      </c>
      <c r="H24" s="11">
        <f t="shared" si="4"/>
        <v>0</v>
      </c>
      <c r="I24" s="11">
        <f t="shared" si="8"/>
        <v>0</v>
      </c>
      <c r="J24" s="11">
        <f t="shared" si="9"/>
        <v>0</v>
      </c>
    </row>
    <row r="25" spans="1:10">
      <c r="A25" s="1"/>
      <c r="B25" s="1">
        <v>1419</v>
      </c>
      <c r="C25" s="1" t="s">
        <v>344</v>
      </c>
      <c r="D25" s="1"/>
      <c r="E25" s="11"/>
      <c r="F25" s="11">
        <v>21.29</v>
      </c>
      <c r="G25" s="11">
        <f t="shared" si="5"/>
        <v>2.5547999999999997</v>
      </c>
      <c r="H25" s="11">
        <f t="shared" si="4"/>
        <v>23.844799999999999</v>
      </c>
      <c r="I25" s="11">
        <v>0</v>
      </c>
      <c r="J25" s="11">
        <v>0</v>
      </c>
    </row>
    <row r="26" spans="1:10" ht="15.75" thickBot="1">
      <c r="A26" s="2"/>
      <c r="B26" s="2"/>
      <c r="C26" s="2"/>
      <c r="D26" s="79">
        <f t="shared" ref="D26:J26" si="10">SUM(D8:D25)</f>
        <v>0</v>
      </c>
      <c r="E26" s="79">
        <f t="shared" si="10"/>
        <v>250</v>
      </c>
      <c r="F26" s="79">
        <f t="shared" si="10"/>
        <v>9919.9700000000012</v>
      </c>
      <c r="G26" s="79">
        <f t="shared" si="10"/>
        <v>1190.3963999999999</v>
      </c>
      <c r="H26" s="79">
        <f t="shared" si="10"/>
        <v>11315.566400000002</v>
      </c>
      <c r="I26" s="79">
        <f t="shared" si="10"/>
        <v>446.02820000000003</v>
      </c>
      <c r="J26" s="79">
        <f t="shared" si="10"/>
        <v>547.04160000000002</v>
      </c>
    </row>
    <row r="27" spans="1:10">
      <c r="A27" s="1"/>
      <c r="B27" s="1"/>
      <c r="C27" s="1"/>
      <c r="D27" s="1"/>
      <c r="E27" s="4"/>
      <c r="F27" s="4"/>
      <c r="G27" s="1"/>
      <c r="H27" s="1"/>
      <c r="I27" s="1"/>
    </row>
    <row r="28" spans="1:10">
      <c r="A28" s="2" t="s">
        <v>6</v>
      </c>
      <c r="B28" s="1"/>
      <c r="C28" s="1"/>
      <c r="D28" s="1"/>
      <c r="E28" s="1"/>
      <c r="F28" s="1"/>
      <c r="G28" s="1"/>
      <c r="H28" s="1"/>
      <c r="I28" s="3"/>
    </row>
    <row r="29" spans="1:10" ht="15.75" thickBot="1">
      <c r="A29" s="1"/>
      <c r="B29" s="3"/>
      <c r="C29" s="3"/>
      <c r="D29" s="3"/>
      <c r="E29" s="3"/>
      <c r="F29" s="3"/>
      <c r="G29" s="3"/>
      <c r="H29" s="3"/>
      <c r="I29" s="4"/>
    </row>
    <row r="30" spans="1:10" ht="24" customHeight="1" thickTop="1" thickBot="1">
      <c r="A30" s="1" t="s">
        <v>1</v>
      </c>
      <c r="B30" s="38" t="s">
        <v>2</v>
      </c>
      <c r="C30" s="38" t="s">
        <v>3</v>
      </c>
      <c r="D30" s="38" t="s">
        <v>7</v>
      </c>
      <c r="E30" s="38" t="s">
        <v>8</v>
      </c>
      <c r="F30" s="38" t="s">
        <v>4</v>
      </c>
      <c r="G30" s="38" t="s">
        <v>5</v>
      </c>
      <c r="I30" s="4"/>
    </row>
    <row r="31" spans="1:10" ht="15.75" thickTop="1">
      <c r="A31" s="1"/>
      <c r="B31" s="13">
        <v>471620</v>
      </c>
      <c r="C31" s="67" t="s">
        <v>304</v>
      </c>
      <c r="D31" s="30"/>
      <c r="E31" s="30">
        <v>16.850000000000001</v>
      </c>
      <c r="F31" s="4">
        <f>+E31*0.12</f>
        <v>2.0220000000000002</v>
      </c>
      <c r="G31" s="4">
        <f>+D31+E31+F31</f>
        <v>18.872</v>
      </c>
    </row>
    <row r="32" spans="1:10" ht="15" customHeight="1">
      <c r="A32" s="1"/>
      <c r="B32" s="13">
        <v>113229</v>
      </c>
      <c r="C32" s="67" t="s">
        <v>346</v>
      </c>
      <c r="D32" s="30"/>
      <c r="E32" s="30">
        <v>22.28</v>
      </c>
      <c r="F32" s="4">
        <f t="shared" ref="F32:F38" si="11">+E32*0.12</f>
        <v>2.6736</v>
      </c>
      <c r="G32" s="4">
        <f t="shared" ref="G32:G38" si="12">+D32+E32+F32</f>
        <v>24.953600000000002</v>
      </c>
      <c r="I32" s="4"/>
    </row>
    <row r="33" spans="1:9">
      <c r="A33" s="1"/>
      <c r="B33" s="13"/>
      <c r="C33" s="67"/>
      <c r="D33" s="30"/>
      <c r="E33" s="30"/>
      <c r="F33" s="4">
        <f t="shared" si="11"/>
        <v>0</v>
      </c>
      <c r="G33" s="4">
        <f t="shared" si="12"/>
        <v>0</v>
      </c>
      <c r="I33" s="4"/>
    </row>
    <row r="34" spans="1:9">
      <c r="A34" s="1"/>
      <c r="B34" s="13"/>
      <c r="C34" s="67"/>
      <c r="D34" s="30"/>
      <c r="E34" s="30"/>
      <c r="F34" s="4">
        <f t="shared" si="11"/>
        <v>0</v>
      </c>
      <c r="G34" s="4">
        <f t="shared" si="12"/>
        <v>0</v>
      </c>
      <c r="I34" s="4"/>
    </row>
    <row r="35" spans="1:9">
      <c r="A35" s="1"/>
      <c r="B35" s="13"/>
      <c r="C35" s="67"/>
      <c r="D35" s="30"/>
      <c r="E35" s="30"/>
      <c r="F35" s="4">
        <f t="shared" si="11"/>
        <v>0</v>
      </c>
      <c r="G35" s="4">
        <f t="shared" si="12"/>
        <v>0</v>
      </c>
      <c r="I35" s="4"/>
    </row>
    <row r="36" spans="1:9">
      <c r="A36" s="1"/>
      <c r="B36" s="13"/>
      <c r="C36" s="67"/>
      <c r="D36" s="30"/>
      <c r="E36" s="30"/>
      <c r="F36" s="4">
        <f t="shared" si="11"/>
        <v>0</v>
      </c>
      <c r="G36" s="4">
        <f t="shared" si="12"/>
        <v>0</v>
      </c>
      <c r="I36" s="4"/>
    </row>
    <row r="37" spans="1:9">
      <c r="A37" s="1"/>
      <c r="B37" s="13"/>
      <c r="C37" s="67"/>
      <c r="D37" s="30"/>
      <c r="E37" s="30"/>
      <c r="F37" s="4">
        <f t="shared" si="11"/>
        <v>0</v>
      </c>
      <c r="G37" s="4">
        <f t="shared" si="12"/>
        <v>0</v>
      </c>
      <c r="I37" s="4"/>
    </row>
    <row r="38" spans="1:9">
      <c r="A38" s="1"/>
      <c r="B38" s="13"/>
      <c r="C38" s="67"/>
      <c r="D38" s="30"/>
      <c r="E38" s="30"/>
      <c r="F38" s="4">
        <f t="shared" si="11"/>
        <v>0</v>
      </c>
      <c r="G38" s="4">
        <f t="shared" si="12"/>
        <v>0</v>
      </c>
      <c r="I38" s="4"/>
    </row>
    <row r="39" spans="1:9" ht="15.75" thickBot="1">
      <c r="A39" s="2"/>
      <c r="B39" s="2"/>
      <c r="C39" s="2"/>
      <c r="D39" s="8">
        <f>SUM(D31:D38)</f>
        <v>0</v>
      </c>
      <c r="E39" s="8">
        <f>SUM(E31:E38)</f>
        <v>39.130000000000003</v>
      </c>
      <c r="F39" s="8">
        <f>SUM(F31:F38)</f>
        <v>4.6956000000000007</v>
      </c>
      <c r="G39" s="8">
        <f>SUM(G31:G38)</f>
        <v>43.825600000000001</v>
      </c>
    </row>
    <row r="40" spans="1:9">
      <c r="A40" s="2"/>
      <c r="B40" s="2"/>
      <c r="C40" s="2"/>
      <c r="D40" s="2"/>
      <c r="E40" s="10"/>
      <c r="F40" s="10"/>
      <c r="G40" s="10"/>
      <c r="H40" s="10"/>
      <c r="I40" s="10"/>
    </row>
    <row r="41" spans="1:9">
      <c r="A41" s="2"/>
      <c r="B41" s="2"/>
      <c r="C41" s="2"/>
      <c r="D41" s="2"/>
      <c r="E41" s="10"/>
      <c r="F41" s="10"/>
      <c r="G41" s="10"/>
      <c r="H41" s="10"/>
      <c r="I41" s="10"/>
    </row>
    <row r="43" spans="1:9">
      <c r="A43" s="1"/>
      <c r="B43" s="1"/>
      <c r="C43" s="1" t="s">
        <v>78</v>
      </c>
      <c r="D43" s="1"/>
      <c r="F43" s="11">
        <f>+F26</f>
        <v>9919.9700000000012</v>
      </c>
      <c r="G43" s="7">
        <v>0.12</v>
      </c>
      <c r="H43" s="4">
        <f>+F43*G43</f>
        <v>1190.3964000000001</v>
      </c>
      <c r="I43" s="1"/>
    </row>
    <row r="44" spans="1:9">
      <c r="A44" s="1"/>
      <c r="B44" s="1"/>
      <c r="C44" s="1" t="s">
        <v>42</v>
      </c>
      <c r="D44" s="1"/>
      <c r="F44" s="11">
        <f>+E26</f>
        <v>250</v>
      </c>
      <c r="G44" s="1"/>
      <c r="H44" s="4"/>
      <c r="I44" s="1"/>
    </row>
    <row r="45" spans="1:9">
      <c r="A45" s="1"/>
      <c r="B45" s="1"/>
      <c r="C45" s="1" t="s">
        <v>54</v>
      </c>
      <c r="D45" s="1"/>
      <c r="F45" s="80">
        <f>+D26</f>
        <v>0</v>
      </c>
      <c r="G45" s="7"/>
      <c r="H45" s="9"/>
      <c r="I45" s="1"/>
    </row>
    <row r="46" spans="1:9">
      <c r="A46" s="1"/>
      <c r="B46" s="1"/>
      <c r="C46" s="2" t="s">
        <v>73</v>
      </c>
      <c r="D46" s="2"/>
      <c r="E46" s="22"/>
      <c r="F46" s="81">
        <f>SUM(F43:F45)</f>
        <v>10169.970000000001</v>
      </c>
      <c r="G46" s="5"/>
      <c r="H46" s="5">
        <f>SUM(H43:H45)</f>
        <v>1190.3964000000001</v>
      </c>
      <c r="I46" s="1"/>
    </row>
    <row r="47" spans="1:9">
      <c r="A47" s="1"/>
      <c r="B47" s="1"/>
      <c r="C47" s="1"/>
      <c r="D47" s="1"/>
      <c r="F47" s="11"/>
      <c r="G47" s="1"/>
      <c r="H47" s="4"/>
      <c r="I47" s="1"/>
    </row>
    <row r="48" spans="1:9">
      <c r="A48" s="1"/>
      <c r="B48" s="1"/>
      <c r="C48" s="1" t="s">
        <v>10</v>
      </c>
      <c r="D48" s="1"/>
      <c r="F48" s="11">
        <f>+D39</f>
        <v>0</v>
      </c>
      <c r="G48" s="1"/>
      <c r="H48" s="4">
        <f>+F48*0.12</f>
        <v>0</v>
      </c>
      <c r="I48" s="1"/>
    </row>
    <row r="49" spans="1:10">
      <c r="A49" s="1"/>
      <c r="B49" s="1"/>
      <c r="C49" s="1" t="s">
        <v>11</v>
      </c>
      <c r="D49" s="1"/>
      <c r="F49" s="80">
        <f>+E39</f>
        <v>39.130000000000003</v>
      </c>
      <c r="G49" s="7">
        <v>0.12</v>
      </c>
      <c r="H49" s="9">
        <f>+F49*G49</f>
        <v>4.6955999999999998</v>
      </c>
      <c r="I49" s="1"/>
    </row>
    <row r="50" spans="1:10">
      <c r="A50" s="1"/>
      <c r="B50" s="1"/>
      <c r="C50" s="2" t="s">
        <v>72</v>
      </c>
      <c r="D50" s="2"/>
      <c r="E50" s="22"/>
      <c r="F50" s="81">
        <f>SUM(F48:F49)</f>
        <v>39.130000000000003</v>
      </c>
      <c r="G50" s="5"/>
      <c r="H50" s="5">
        <f>SUM(H48:H49)</f>
        <v>4.6955999999999998</v>
      </c>
      <c r="I50" s="1"/>
    </row>
    <row r="51" spans="1:10">
      <c r="A51" s="1"/>
      <c r="B51" s="1"/>
      <c r="C51" s="1"/>
      <c r="D51" s="1"/>
      <c r="F51" s="4"/>
      <c r="G51" s="1"/>
      <c r="H51" s="4"/>
      <c r="I51" s="1"/>
    </row>
    <row r="52" spans="1:10">
      <c r="A52" s="1"/>
      <c r="B52" s="1"/>
      <c r="C52" s="155" t="s">
        <v>154</v>
      </c>
      <c r="D52" s="155"/>
      <c r="E52" s="156"/>
      <c r="F52" s="157"/>
      <c r="G52" s="157"/>
      <c r="H52" s="157">
        <f>+F43/F46</f>
        <v>0.97541782325808235</v>
      </c>
      <c r="I52" s="1"/>
    </row>
    <row r="53" spans="1:10">
      <c r="A53" s="1"/>
      <c r="B53" s="1"/>
      <c r="C53" s="2" t="s">
        <v>155</v>
      </c>
      <c r="D53" s="2"/>
      <c r="E53" s="22"/>
      <c r="F53" s="81"/>
      <c r="G53" s="81"/>
      <c r="H53" s="81">
        <f>+(H50*H52)</f>
        <v>4.5801719308906517</v>
      </c>
      <c r="I53" s="1"/>
    </row>
    <row r="54" spans="1:10">
      <c r="A54" s="1"/>
      <c r="B54" s="1"/>
      <c r="C54" s="68" t="s">
        <v>70</v>
      </c>
      <c r="D54" s="1"/>
      <c r="F54" s="1"/>
      <c r="G54" s="1"/>
      <c r="H54" s="283">
        <f>+H46-H53</f>
        <v>1185.8162280691095</v>
      </c>
      <c r="I54" s="1"/>
    </row>
    <row r="55" spans="1:10">
      <c r="A55" s="1"/>
      <c r="B55" s="1"/>
      <c r="C55" s="1"/>
      <c r="D55" s="1"/>
      <c r="F55" s="1"/>
      <c r="G55" s="1"/>
      <c r="H55" s="11"/>
      <c r="I55" s="1"/>
    </row>
    <row r="56" spans="1:10">
      <c r="A56" s="1"/>
      <c r="B56" s="1"/>
      <c r="C56" s="1" t="s">
        <v>13</v>
      </c>
      <c r="D56" s="1"/>
      <c r="F56" s="1"/>
      <c r="G56" s="1"/>
      <c r="H56" s="11">
        <f>-J26</f>
        <v>-547.04160000000002</v>
      </c>
      <c r="I56" s="1"/>
    </row>
    <row r="57" spans="1:10">
      <c r="A57" s="1"/>
      <c r="B57" s="1"/>
      <c r="C57" s="1"/>
      <c r="D57" s="1"/>
      <c r="F57" s="1"/>
      <c r="G57" s="1"/>
      <c r="H57" s="11"/>
      <c r="I57" s="1"/>
    </row>
    <row r="58" spans="1:10">
      <c r="A58" s="1"/>
      <c r="B58" s="1"/>
      <c r="C58" s="68" t="s">
        <v>12</v>
      </c>
      <c r="D58" s="1"/>
      <c r="F58" s="1"/>
      <c r="G58" s="1"/>
      <c r="H58" s="84">
        <f>+H54+H56</f>
        <v>638.77462806910944</v>
      </c>
      <c r="I58" s="1"/>
    </row>
    <row r="59" spans="1:10">
      <c r="C59" s="1"/>
      <c r="D59" s="1"/>
      <c r="F59" s="1"/>
      <c r="G59" s="1"/>
      <c r="H59" s="11"/>
      <c r="I59" s="1"/>
    </row>
    <row r="60" spans="1:10" ht="15.75">
      <c r="C60" s="70" t="s">
        <v>74</v>
      </c>
      <c r="E60" s="74" t="s">
        <v>75</v>
      </c>
      <c r="F60" s="71">
        <v>605</v>
      </c>
      <c r="H60" s="192">
        <f>+NOVIEMBRE!I60</f>
        <v>0</v>
      </c>
      <c r="I60" s="1"/>
    </row>
    <row r="61" spans="1:10" ht="15.75">
      <c r="C61" s="70" t="s">
        <v>74</v>
      </c>
      <c r="E61" s="74" t="s">
        <v>76</v>
      </c>
      <c r="F61" s="71">
        <v>606</v>
      </c>
      <c r="H61" s="192">
        <f>+NOVIEMBRE!I61</f>
        <v>3831.7571005779969</v>
      </c>
      <c r="I61" s="1"/>
    </row>
    <row r="62" spans="1:10" ht="15.75">
      <c r="C62" s="70"/>
      <c r="F62" s="71"/>
      <c r="H62" s="73"/>
      <c r="J62" s="17"/>
    </row>
    <row r="63" spans="1:10" ht="15.75">
      <c r="C63" s="70"/>
      <c r="F63" s="71"/>
      <c r="H63" s="73"/>
      <c r="I63" s="1"/>
    </row>
    <row r="64" spans="1:10" ht="15.75">
      <c r="C64" s="70" t="s">
        <v>77</v>
      </c>
      <c r="F64" s="71">
        <v>615</v>
      </c>
      <c r="H64" s="73">
        <f>+H60</f>
        <v>0</v>
      </c>
    </row>
    <row r="65" spans="3:8" ht="15.75">
      <c r="C65" s="70" t="s">
        <v>77</v>
      </c>
      <c r="F65" s="71">
        <v>617</v>
      </c>
      <c r="H65" s="72">
        <f>+H58+H61</f>
        <v>4470.5317286471063</v>
      </c>
    </row>
  </sheetData>
  <sortState ref="A19:H23">
    <sortCondition ref="D19:D23"/>
  </sortState>
  <pageMargins left="0.70866141732283472" right="0.70866141732283472" top="0.74803149606299213" bottom="0.74803149606299213" header="0.31496062992125984" footer="0.31496062992125984"/>
  <pageSetup paperSize="9" scale="63" orientation="portrait" verticalDpi="72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AX149"/>
  <sheetViews>
    <sheetView zoomScaleNormal="100" workbookViewId="0">
      <pane ySplit="4" topLeftCell="A5" activePane="bottomLeft" state="frozen"/>
      <selection pane="bottomLeft" activeCell="B14" sqref="B14"/>
    </sheetView>
  </sheetViews>
  <sheetFormatPr baseColWidth="10" defaultRowHeight="15"/>
  <cols>
    <col min="1" max="1" width="11.42578125" style="52"/>
    <col min="2" max="2" width="11.5703125" bestFit="1" customWidth="1"/>
    <col min="3" max="3" width="14.28515625" customWidth="1"/>
    <col min="4" max="4" width="32.5703125" customWidth="1"/>
    <col min="5" max="5" width="16.42578125" customWidth="1"/>
    <col min="11" max="11" width="11.42578125" style="52"/>
    <col min="12" max="12" width="11.5703125" bestFit="1" customWidth="1"/>
    <col min="13" max="13" width="13.5703125" customWidth="1"/>
    <col min="14" max="14" width="33" customWidth="1"/>
    <col min="15" max="15" width="15" bestFit="1" customWidth="1"/>
    <col min="16" max="17" width="12.140625" customWidth="1"/>
    <col min="18" max="18" width="11.5703125" customWidth="1"/>
    <col min="21" max="21" width="11.42578125" style="52"/>
    <col min="22" max="22" width="11.5703125" bestFit="1" customWidth="1"/>
    <col min="23" max="23" width="14" customWidth="1"/>
    <col min="24" max="24" width="36" customWidth="1"/>
    <col min="25" max="25" width="17.7109375" customWidth="1"/>
    <col min="31" max="31" width="11.42578125" style="52"/>
    <col min="32" max="32" width="11.42578125" customWidth="1"/>
    <col min="33" max="33" width="15.140625" bestFit="1" customWidth="1"/>
    <col min="34" max="34" width="16" customWidth="1"/>
    <col min="35" max="35" width="42.85546875" customWidth="1"/>
    <col min="41" max="41" width="11.42578125" style="52" customWidth="1"/>
    <col min="42" max="42" width="11.5703125" bestFit="1" customWidth="1"/>
    <col min="43" max="43" width="14.42578125" customWidth="1"/>
    <col min="44" max="44" width="28.5703125" customWidth="1"/>
    <col min="45" max="45" width="16.28515625" customWidth="1"/>
  </cols>
  <sheetData>
    <row r="1" spans="1:49" ht="18.75">
      <c r="B1" s="18" t="s">
        <v>33</v>
      </c>
      <c r="E1" s="66" t="s">
        <v>84</v>
      </c>
      <c r="F1" s="75"/>
    </row>
    <row r="2" spans="1:49" ht="15.75" thickBot="1">
      <c r="B2" s="18"/>
    </row>
    <row r="3" spans="1:49" ht="27.75" thickTop="1" thickBot="1">
      <c r="A3" s="92" t="s">
        <v>86</v>
      </c>
      <c r="B3" s="396" t="s">
        <v>28</v>
      </c>
      <c r="C3" s="397"/>
      <c r="D3" s="397"/>
      <c r="E3" s="397"/>
      <c r="F3" s="397"/>
      <c r="G3" s="397"/>
      <c r="H3" s="397"/>
      <c r="I3" s="398"/>
      <c r="J3" s="96"/>
      <c r="K3" s="92" t="s">
        <v>86</v>
      </c>
      <c r="L3" s="396" t="s">
        <v>40</v>
      </c>
      <c r="M3" s="397"/>
      <c r="N3" s="397"/>
      <c r="O3" s="397"/>
      <c r="P3" s="397"/>
      <c r="Q3" s="397"/>
      <c r="R3" s="397"/>
      <c r="S3" s="398"/>
      <c r="T3" s="96"/>
      <c r="U3" s="92" t="s">
        <v>86</v>
      </c>
      <c r="V3" s="396" t="s">
        <v>30</v>
      </c>
      <c r="W3" s="397"/>
      <c r="X3" s="397"/>
      <c r="Y3" s="397"/>
      <c r="Z3" s="397"/>
      <c r="AA3" s="397"/>
      <c r="AB3" s="397"/>
      <c r="AC3" s="398"/>
      <c r="AD3" s="96"/>
      <c r="AE3" s="110" t="s">
        <v>86</v>
      </c>
      <c r="AF3" s="397" t="s">
        <v>31</v>
      </c>
      <c r="AG3" s="397"/>
      <c r="AH3" s="397"/>
      <c r="AI3" s="397"/>
      <c r="AJ3" s="397"/>
      <c r="AK3" s="397"/>
      <c r="AL3" s="397"/>
      <c r="AM3" s="398"/>
      <c r="AN3" s="90"/>
      <c r="AO3" s="92" t="s">
        <v>86</v>
      </c>
      <c r="AP3" s="397" t="s">
        <v>32</v>
      </c>
      <c r="AQ3" s="397"/>
      <c r="AR3" s="397"/>
      <c r="AS3" s="397"/>
      <c r="AT3" s="397"/>
      <c r="AU3" s="397"/>
      <c r="AV3" s="397"/>
      <c r="AW3" s="398"/>
    </row>
    <row r="4" spans="1:49" ht="19.5" customHeight="1" thickTop="1">
      <c r="A4" s="91" t="s">
        <v>85</v>
      </c>
      <c r="B4" s="34" t="s">
        <v>34</v>
      </c>
      <c r="C4" s="34" t="s">
        <v>48</v>
      </c>
      <c r="D4" s="34" t="s">
        <v>35</v>
      </c>
      <c r="E4" s="34" t="s">
        <v>47</v>
      </c>
      <c r="F4" s="34" t="s">
        <v>36</v>
      </c>
      <c r="G4" s="34" t="s">
        <v>37</v>
      </c>
      <c r="H4" s="34" t="s">
        <v>4</v>
      </c>
      <c r="I4" s="34" t="s">
        <v>9</v>
      </c>
      <c r="J4" s="97"/>
      <c r="K4" s="91" t="s">
        <v>85</v>
      </c>
      <c r="L4" s="34" t="s">
        <v>34</v>
      </c>
      <c r="M4" s="34" t="s">
        <v>48</v>
      </c>
      <c r="N4" s="34" t="s">
        <v>35</v>
      </c>
      <c r="O4" s="34" t="s">
        <v>47</v>
      </c>
      <c r="P4" s="34" t="s">
        <v>36</v>
      </c>
      <c r="Q4" s="34" t="s">
        <v>37</v>
      </c>
      <c r="R4" s="34" t="s">
        <v>4</v>
      </c>
      <c r="S4" s="34" t="s">
        <v>9</v>
      </c>
      <c r="T4" s="97"/>
      <c r="U4" s="91" t="s">
        <v>85</v>
      </c>
      <c r="V4" s="34" t="s">
        <v>34</v>
      </c>
      <c r="W4" s="34" t="s">
        <v>48</v>
      </c>
      <c r="X4" s="34" t="s">
        <v>35</v>
      </c>
      <c r="Y4" s="34" t="s">
        <v>47</v>
      </c>
      <c r="Z4" s="34" t="s">
        <v>36</v>
      </c>
      <c r="AA4" s="34" t="s">
        <v>37</v>
      </c>
      <c r="AB4" s="34" t="s">
        <v>4</v>
      </c>
      <c r="AC4" s="34" t="s">
        <v>9</v>
      </c>
      <c r="AD4" s="97"/>
      <c r="AE4" s="34" t="s">
        <v>85</v>
      </c>
      <c r="AF4" s="89" t="s">
        <v>34</v>
      </c>
      <c r="AG4" s="34" t="s">
        <v>48</v>
      </c>
      <c r="AH4" s="34" t="s">
        <v>47</v>
      </c>
      <c r="AI4" s="34" t="s">
        <v>35</v>
      </c>
      <c r="AJ4" s="34" t="s">
        <v>36</v>
      </c>
      <c r="AK4" s="34" t="s">
        <v>37</v>
      </c>
      <c r="AL4" s="34" t="s">
        <v>4</v>
      </c>
      <c r="AM4" s="34" t="s">
        <v>9</v>
      </c>
      <c r="AN4" s="86"/>
      <c r="AO4" s="91" t="s">
        <v>85</v>
      </c>
      <c r="AP4" s="89" t="s">
        <v>34</v>
      </c>
      <c r="AQ4" s="34" t="s">
        <v>48</v>
      </c>
      <c r="AR4" s="34" t="s">
        <v>35</v>
      </c>
      <c r="AS4" s="34" t="s">
        <v>47</v>
      </c>
      <c r="AT4" s="34" t="s">
        <v>36</v>
      </c>
      <c r="AU4" s="34" t="s">
        <v>37</v>
      </c>
      <c r="AV4" s="34" t="s">
        <v>4</v>
      </c>
      <c r="AW4" s="34" t="s">
        <v>9</v>
      </c>
    </row>
    <row r="5" spans="1:49">
      <c r="A5" s="197"/>
      <c r="B5" s="82"/>
      <c r="C5" s="19"/>
      <c r="D5" s="16"/>
      <c r="E5" s="201"/>
      <c r="F5" s="65"/>
      <c r="G5" s="20"/>
      <c r="H5" s="198">
        <f t="shared" ref="H5" si="0">+G5*0.12</f>
        <v>0</v>
      </c>
      <c r="I5" s="20">
        <f t="shared" ref="I5:I36" si="1">+F5+G5+H5</f>
        <v>0</v>
      </c>
      <c r="J5" s="42"/>
      <c r="K5" s="53"/>
      <c r="L5" s="82"/>
      <c r="M5" s="19"/>
      <c r="N5" s="16"/>
      <c r="O5" s="31"/>
      <c r="P5" s="20"/>
      <c r="Q5" s="20"/>
      <c r="R5" s="20">
        <f t="shared" ref="R5:R20" si="2">+Q5*0.12</f>
        <v>0</v>
      </c>
      <c r="S5" s="20">
        <f t="shared" ref="S5:S32" si="3">+P5+Q5+R5</f>
        <v>0</v>
      </c>
      <c r="T5" s="42"/>
      <c r="U5" s="53"/>
      <c r="V5" s="82"/>
      <c r="W5" s="19"/>
      <c r="X5" s="16"/>
      <c r="Y5" s="31"/>
      <c r="Z5" s="20"/>
      <c r="AA5" s="20"/>
      <c r="AB5" s="20">
        <f t="shared" ref="AB5:AB7" si="4">+AA5*0.12</f>
        <v>0</v>
      </c>
      <c r="AC5" s="20">
        <f>+Z5+AA5+AB5</f>
        <v>0</v>
      </c>
      <c r="AD5" s="42"/>
      <c r="AE5" s="53"/>
      <c r="AF5" s="108"/>
      <c r="AG5" s="19"/>
      <c r="AH5" s="31"/>
      <c r="AI5" s="16"/>
      <c r="AJ5" s="27"/>
      <c r="AK5" s="27"/>
      <c r="AL5" s="20"/>
      <c r="AM5" s="20"/>
      <c r="AN5" s="42"/>
      <c r="AO5" s="53"/>
      <c r="AP5" s="82"/>
      <c r="AQ5" s="19"/>
      <c r="AR5" s="19"/>
      <c r="AS5" s="40"/>
      <c r="AT5" s="20"/>
      <c r="AU5" s="21"/>
      <c r="AV5" s="20">
        <f t="shared" ref="AV5:AV25" si="5">+AU5*0.12</f>
        <v>0</v>
      </c>
      <c r="AW5" s="20">
        <f>+AT5+AU5+AV5</f>
        <v>0</v>
      </c>
    </row>
    <row r="6" spans="1:49">
      <c r="A6" s="197"/>
      <c r="B6" s="82"/>
      <c r="C6" s="19"/>
      <c r="D6" s="16"/>
      <c r="E6" s="201"/>
      <c r="F6" s="20"/>
      <c r="G6" s="20"/>
      <c r="H6" s="198">
        <f>+G6*0.12</f>
        <v>0</v>
      </c>
      <c r="I6" s="20">
        <f t="shared" si="1"/>
        <v>0</v>
      </c>
      <c r="J6" s="42"/>
      <c r="K6" s="53"/>
      <c r="L6" s="82"/>
      <c r="M6" s="19"/>
      <c r="N6" s="16"/>
      <c r="O6" s="31"/>
      <c r="P6" s="20"/>
      <c r="Q6" s="20"/>
      <c r="R6" s="21">
        <f t="shared" si="2"/>
        <v>0</v>
      </c>
      <c r="S6" s="21">
        <f t="shared" si="3"/>
        <v>0</v>
      </c>
      <c r="T6" s="64"/>
      <c r="U6" s="53"/>
      <c r="V6" s="82"/>
      <c r="W6" s="19"/>
      <c r="X6" s="16"/>
      <c r="Y6" s="31"/>
      <c r="Z6" s="20"/>
      <c r="AA6" s="20"/>
      <c r="AB6" s="20">
        <f t="shared" si="4"/>
        <v>0</v>
      </c>
      <c r="AC6" s="20">
        <f>+Z6+AA6+AB6</f>
        <v>0</v>
      </c>
      <c r="AD6" s="42"/>
      <c r="AE6" s="53"/>
      <c r="AF6" s="82"/>
      <c r="AG6" s="19"/>
      <c r="AH6" s="31"/>
      <c r="AI6" s="16"/>
      <c r="AJ6" s="27"/>
      <c r="AK6" s="27"/>
      <c r="AL6" s="20"/>
      <c r="AM6" s="20"/>
      <c r="AN6" s="42"/>
      <c r="AO6" s="53"/>
      <c r="AP6" s="85"/>
      <c r="AQ6" s="19"/>
      <c r="AR6" s="19"/>
      <c r="AS6" s="76"/>
      <c r="AT6" s="21"/>
      <c r="AU6" s="21"/>
      <c r="AV6" s="20">
        <f t="shared" si="5"/>
        <v>0</v>
      </c>
      <c r="AW6" s="20">
        <f t="shared" ref="AW6:AW69" si="6">+AT6+AU6+AV6</f>
        <v>0</v>
      </c>
    </row>
    <row r="7" spans="1:49">
      <c r="A7" s="53"/>
      <c r="B7" s="82"/>
      <c r="C7" s="19"/>
      <c r="D7" s="16"/>
      <c r="E7" s="99"/>
      <c r="F7" s="20"/>
      <c r="G7" s="20"/>
      <c r="H7" s="20">
        <f>+G7*0.12</f>
        <v>0</v>
      </c>
      <c r="I7" s="20">
        <f t="shared" si="1"/>
        <v>0</v>
      </c>
      <c r="J7" s="42"/>
      <c r="K7" s="53"/>
      <c r="L7" s="82"/>
      <c r="M7" s="19"/>
      <c r="N7" s="16"/>
      <c r="O7" s="31"/>
      <c r="P7" s="20"/>
      <c r="Q7" s="20"/>
      <c r="R7" s="20">
        <f t="shared" si="2"/>
        <v>0</v>
      </c>
      <c r="S7" s="20">
        <f t="shared" si="3"/>
        <v>0</v>
      </c>
      <c r="T7" s="42"/>
      <c r="U7" s="53"/>
      <c r="V7" s="82"/>
      <c r="W7" s="19"/>
      <c r="X7" s="16"/>
      <c r="Y7" s="31"/>
      <c r="Z7" s="20"/>
      <c r="AA7" s="20"/>
      <c r="AB7" s="20">
        <f t="shared" si="4"/>
        <v>0</v>
      </c>
      <c r="AC7" s="20">
        <f>+Z7+AA7+AB7</f>
        <v>0</v>
      </c>
      <c r="AD7" s="42"/>
      <c r="AE7" s="53"/>
      <c r="AF7" s="82"/>
      <c r="AG7" s="19"/>
      <c r="AH7" s="31"/>
      <c r="AI7" s="16"/>
      <c r="AJ7" s="27"/>
      <c r="AK7" s="27"/>
      <c r="AL7" s="24"/>
      <c r="AM7" s="24"/>
      <c r="AN7" s="42"/>
      <c r="AO7" s="53"/>
      <c r="AP7" s="85"/>
      <c r="AQ7" s="19"/>
      <c r="AR7" s="19"/>
      <c r="AS7" s="76"/>
      <c r="AT7" s="21"/>
      <c r="AU7" s="21"/>
      <c r="AV7" s="20">
        <f t="shared" si="5"/>
        <v>0</v>
      </c>
      <c r="AW7" s="20">
        <f t="shared" si="6"/>
        <v>0</v>
      </c>
    </row>
    <row r="8" spans="1:49" ht="15.75" thickBot="1">
      <c r="A8" s="53"/>
      <c r="B8" s="82"/>
      <c r="C8" s="19"/>
      <c r="D8" s="16"/>
      <c r="E8" s="99"/>
      <c r="F8" s="20"/>
      <c r="G8" s="16"/>
      <c r="H8" s="20">
        <f>+G8*0.12</f>
        <v>0</v>
      </c>
      <c r="I8" s="20">
        <f t="shared" si="1"/>
        <v>0</v>
      </c>
      <c r="J8" s="42"/>
      <c r="K8" s="53"/>
      <c r="L8" s="104"/>
      <c r="M8" s="105"/>
      <c r="N8" s="103"/>
      <c r="O8" s="31"/>
      <c r="P8" s="102"/>
      <c r="Q8" s="102"/>
      <c r="R8" s="100">
        <f t="shared" si="2"/>
        <v>0</v>
      </c>
      <c r="S8" s="100">
        <f t="shared" si="3"/>
        <v>0</v>
      </c>
      <c r="T8" s="42"/>
      <c r="Z8" s="111">
        <f>SUM(Z5:Z7)</f>
        <v>0</v>
      </c>
      <c r="AA8" s="111">
        <f>SUM(AA5:AA7)</f>
        <v>0</v>
      </c>
      <c r="AB8" s="111">
        <f>SUM(AB5:AB7)</f>
        <v>0</v>
      </c>
      <c r="AC8" s="111">
        <f>SUM(AC5:AC7)</f>
        <v>0</v>
      </c>
      <c r="AD8" s="42"/>
      <c r="AE8" s="53"/>
      <c r="AF8" s="82"/>
      <c r="AG8" s="19"/>
      <c r="AH8" s="31"/>
      <c r="AI8" s="16"/>
      <c r="AJ8" s="27"/>
      <c r="AK8" s="27"/>
      <c r="AL8" s="26"/>
      <c r="AM8" s="26"/>
      <c r="AN8" s="42"/>
      <c r="AO8" s="53"/>
      <c r="AP8" s="85"/>
      <c r="AQ8" s="19"/>
      <c r="AR8" s="19"/>
      <c r="AS8" s="76"/>
      <c r="AT8" s="21"/>
      <c r="AU8" s="21"/>
      <c r="AV8" s="20">
        <f t="shared" si="5"/>
        <v>0</v>
      </c>
      <c r="AW8" s="20">
        <f t="shared" si="6"/>
        <v>0</v>
      </c>
    </row>
    <row r="9" spans="1:49" ht="15.75" thickTop="1">
      <c r="A9" s="53"/>
      <c r="B9" s="82"/>
      <c r="C9" s="58"/>
      <c r="D9" s="16"/>
      <c r="E9" s="202"/>
      <c r="F9" s="20"/>
      <c r="G9" s="20"/>
      <c r="H9" s="20">
        <f>+G9*0.12</f>
        <v>0</v>
      </c>
      <c r="I9" s="20">
        <f t="shared" si="1"/>
        <v>0</v>
      </c>
      <c r="J9" s="42"/>
      <c r="K9" s="53"/>
      <c r="L9" s="82"/>
      <c r="M9" s="19"/>
      <c r="N9" s="16"/>
      <c r="O9" s="31"/>
      <c r="P9" s="20"/>
      <c r="Q9" s="20"/>
      <c r="R9" s="20">
        <f t="shared" si="2"/>
        <v>0</v>
      </c>
      <c r="S9" s="20">
        <f t="shared" si="3"/>
        <v>0</v>
      </c>
      <c r="T9" s="106"/>
      <c r="AD9" s="42"/>
      <c r="AE9" s="53"/>
      <c r="AF9" s="82"/>
      <c r="AG9" s="19"/>
      <c r="AH9" s="31"/>
      <c r="AI9" s="16"/>
      <c r="AJ9" s="27"/>
      <c r="AK9" s="27"/>
      <c r="AL9" s="26"/>
      <c r="AM9" s="26"/>
      <c r="AN9" s="87"/>
      <c r="AO9" s="53"/>
      <c r="AP9" s="85"/>
      <c r="AQ9" s="32"/>
      <c r="AR9" s="32"/>
      <c r="AS9" s="76"/>
      <c r="AT9" s="21"/>
      <c r="AU9" s="16"/>
      <c r="AV9" s="20">
        <f t="shared" si="5"/>
        <v>0</v>
      </c>
      <c r="AW9" s="20">
        <f t="shared" si="6"/>
        <v>0</v>
      </c>
    </row>
    <row r="10" spans="1:49">
      <c r="A10" s="53"/>
      <c r="B10" s="82"/>
      <c r="C10" s="19"/>
      <c r="D10" s="19"/>
      <c r="E10" s="202"/>
      <c r="F10" s="21"/>
      <c r="G10" s="20"/>
      <c r="H10" s="20">
        <f t="shared" ref="H10:H23" si="7">+G10*0.12</f>
        <v>0</v>
      </c>
      <c r="I10" s="20">
        <f t="shared" si="1"/>
        <v>0</v>
      </c>
      <c r="J10" s="42"/>
      <c r="K10" s="53"/>
      <c r="L10" s="82"/>
      <c r="M10" s="60"/>
      <c r="N10" s="16"/>
      <c r="O10" s="31"/>
      <c r="P10" s="20"/>
      <c r="Q10" s="20"/>
      <c r="R10" s="20">
        <f t="shared" si="2"/>
        <v>0</v>
      </c>
      <c r="S10" s="20">
        <f t="shared" si="3"/>
        <v>0</v>
      </c>
      <c r="T10" s="106"/>
      <c r="Z10" s="112">
        <f>+Z8+AA8</f>
        <v>0</v>
      </c>
      <c r="AD10" s="42"/>
      <c r="AE10" s="53"/>
      <c r="AF10" s="82"/>
      <c r="AG10" s="19"/>
      <c r="AH10" s="31"/>
      <c r="AI10" s="16"/>
      <c r="AJ10" s="27"/>
      <c r="AK10" s="27"/>
      <c r="AL10" s="26"/>
      <c r="AM10" s="26"/>
      <c r="AN10" s="87"/>
      <c r="AO10" s="53"/>
      <c r="AP10" s="85"/>
      <c r="AQ10" s="19"/>
      <c r="AR10" s="19"/>
      <c r="AS10" s="76"/>
      <c r="AT10" s="21"/>
      <c r="AU10" s="16"/>
      <c r="AV10" s="20">
        <f t="shared" si="5"/>
        <v>0</v>
      </c>
      <c r="AW10" s="20">
        <f t="shared" si="6"/>
        <v>0</v>
      </c>
    </row>
    <row r="11" spans="1:49">
      <c r="A11" s="53"/>
      <c r="B11" s="82"/>
      <c r="C11" s="19"/>
      <c r="D11" s="16"/>
      <c r="E11" s="99"/>
      <c r="F11" s="16"/>
      <c r="G11" s="20"/>
      <c r="H11" s="20">
        <f t="shared" si="7"/>
        <v>0</v>
      </c>
      <c r="I11" s="20">
        <f t="shared" si="1"/>
        <v>0</v>
      </c>
      <c r="J11" s="42"/>
      <c r="K11" s="53"/>
      <c r="L11" s="82"/>
      <c r="M11" s="19"/>
      <c r="N11" s="16"/>
      <c r="O11" s="31"/>
      <c r="P11" s="20"/>
      <c r="Q11" s="20"/>
      <c r="R11" s="20">
        <f t="shared" si="2"/>
        <v>0</v>
      </c>
      <c r="S11" s="20">
        <f t="shared" si="3"/>
        <v>0</v>
      </c>
      <c r="T11" s="42"/>
      <c r="AD11" s="42"/>
      <c r="AE11" s="53"/>
      <c r="AF11" s="82"/>
      <c r="AG11" s="29"/>
      <c r="AH11" s="31"/>
      <c r="AI11" s="16"/>
      <c r="AJ11" s="25"/>
      <c r="AK11" s="26"/>
      <c r="AL11" s="19"/>
      <c r="AM11" s="19"/>
      <c r="AN11" s="87"/>
      <c r="AO11" s="53"/>
      <c r="AP11" s="85"/>
      <c r="AQ11" s="19"/>
      <c r="AR11" s="19"/>
      <c r="AS11" s="76"/>
      <c r="AT11" s="21"/>
      <c r="AU11" s="21"/>
      <c r="AV11" s="20">
        <f t="shared" si="5"/>
        <v>0</v>
      </c>
      <c r="AW11" s="20">
        <f t="shared" si="6"/>
        <v>0</v>
      </c>
    </row>
    <row r="12" spans="1:49">
      <c r="A12" s="53"/>
      <c r="B12" s="82"/>
      <c r="C12" s="19"/>
      <c r="D12" s="19"/>
      <c r="E12" s="202"/>
      <c r="F12" s="21"/>
      <c r="G12" s="20"/>
      <c r="H12" s="20">
        <f t="shared" si="7"/>
        <v>0</v>
      </c>
      <c r="I12" s="20">
        <f t="shared" si="1"/>
        <v>0</v>
      </c>
      <c r="J12" s="42"/>
      <c r="K12" s="53"/>
      <c r="L12" s="82"/>
      <c r="M12" s="19"/>
      <c r="N12" s="16"/>
      <c r="O12" s="31"/>
      <c r="P12" s="20"/>
      <c r="Q12" s="20"/>
      <c r="R12" s="20">
        <f t="shared" si="2"/>
        <v>0</v>
      </c>
      <c r="S12" s="20">
        <f t="shared" si="3"/>
        <v>0</v>
      </c>
      <c r="T12" s="42"/>
      <c r="Y12" t="s">
        <v>224</v>
      </c>
      <c r="Z12" s="15">
        <v>3630.25</v>
      </c>
      <c r="AD12" s="42"/>
      <c r="AE12" s="53"/>
      <c r="AF12" s="82"/>
      <c r="AG12" s="29"/>
      <c r="AH12" s="31"/>
      <c r="AI12" s="16"/>
      <c r="AJ12" s="25"/>
      <c r="AK12" s="25"/>
      <c r="AL12" s="19"/>
      <c r="AM12" s="19"/>
      <c r="AN12" s="87"/>
      <c r="AO12" s="93"/>
      <c r="AP12" s="85"/>
      <c r="AQ12" s="19"/>
      <c r="AR12" s="19"/>
      <c r="AS12" s="76"/>
      <c r="AT12" s="21"/>
      <c r="AU12" s="21"/>
      <c r="AV12" s="20">
        <f t="shared" si="5"/>
        <v>0</v>
      </c>
      <c r="AW12" s="20">
        <f t="shared" si="6"/>
        <v>0</v>
      </c>
    </row>
    <row r="13" spans="1:49">
      <c r="A13" s="53"/>
      <c r="B13" s="101"/>
      <c r="C13" s="57"/>
      <c r="D13" s="199"/>
      <c r="E13" s="99"/>
      <c r="F13" s="100"/>
      <c r="G13" s="100"/>
      <c r="H13" s="20">
        <f t="shared" si="7"/>
        <v>0</v>
      </c>
      <c r="I13" s="20">
        <f t="shared" si="1"/>
        <v>0</v>
      </c>
      <c r="J13" s="42"/>
      <c r="K13" s="53"/>
      <c r="L13" s="82"/>
      <c r="M13" s="19"/>
      <c r="N13" s="16"/>
      <c r="O13" s="31"/>
      <c r="P13" s="20"/>
      <c r="Q13" s="20"/>
      <c r="R13" s="20">
        <f t="shared" si="2"/>
        <v>0</v>
      </c>
      <c r="S13" s="20">
        <f t="shared" si="3"/>
        <v>0</v>
      </c>
      <c r="T13" s="107"/>
      <c r="Z13" s="15">
        <f>+Z10-Z12</f>
        <v>-3630.25</v>
      </c>
      <c r="AD13" s="42"/>
      <c r="AE13" s="53"/>
      <c r="AF13" s="82"/>
      <c r="AG13" s="29"/>
      <c r="AH13" s="31"/>
      <c r="AI13" s="16"/>
      <c r="AJ13" s="25"/>
      <c r="AK13" s="25"/>
      <c r="AL13" s="19"/>
      <c r="AM13" s="19"/>
      <c r="AN13" s="87"/>
      <c r="AO13" s="94"/>
      <c r="AP13" s="85"/>
      <c r="AQ13" s="19"/>
      <c r="AR13" s="19"/>
      <c r="AS13" s="76"/>
      <c r="AT13" s="21"/>
      <c r="AU13" s="21"/>
      <c r="AV13" s="20">
        <f t="shared" si="5"/>
        <v>0</v>
      </c>
      <c r="AW13" s="20">
        <f t="shared" si="6"/>
        <v>0</v>
      </c>
    </row>
    <row r="14" spans="1:49">
      <c r="A14" s="53"/>
      <c r="B14" s="101"/>
      <c r="C14" s="57"/>
      <c r="D14" s="199"/>
      <c r="E14" s="99"/>
      <c r="F14" s="100"/>
      <c r="G14" s="100"/>
      <c r="H14" s="20">
        <f t="shared" si="7"/>
        <v>0</v>
      </c>
      <c r="I14" s="20">
        <f t="shared" si="1"/>
        <v>0</v>
      </c>
      <c r="J14" s="42"/>
      <c r="K14" s="53"/>
      <c r="L14" s="82"/>
      <c r="M14" s="19"/>
      <c r="N14" s="16"/>
      <c r="O14" s="31"/>
      <c r="P14" s="20"/>
      <c r="Q14" s="20"/>
      <c r="R14" s="20">
        <f t="shared" si="2"/>
        <v>0</v>
      </c>
      <c r="S14" s="20">
        <f t="shared" si="3"/>
        <v>0</v>
      </c>
      <c r="T14" s="42"/>
      <c r="AD14" s="42"/>
      <c r="AE14" s="53"/>
      <c r="AF14" s="82"/>
      <c r="AG14" s="29"/>
      <c r="AH14" s="31"/>
      <c r="AI14" s="16"/>
      <c r="AJ14" s="28"/>
      <c r="AK14" s="28"/>
      <c r="AL14" s="19"/>
      <c r="AM14" s="19"/>
      <c r="AN14" s="42"/>
      <c r="AO14" s="94"/>
      <c r="AP14" s="85"/>
      <c r="AQ14" s="19"/>
      <c r="AR14" s="19"/>
      <c r="AS14" s="76"/>
      <c r="AT14" s="21"/>
      <c r="AU14" s="21"/>
      <c r="AV14" s="20">
        <f t="shared" si="5"/>
        <v>0</v>
      </c>
      <c r="AW14" s="20">
        <f t="shared" si="6"/>
        <v>0</v>
      </c>
    </row>
    <row r="15" spans="1:49">
      <c r="A15" s="53"/>
      <c r="B15" s="82"/>
      <c r="C15" s="19"/>
      <c r="D15" s="19"/>
      <c r="E15" s="201"/>
      <c r="F15" s="200"/>
      <c r="G15" s="199"/>
      <c r="H15" s="20">
        <f t="shared" si="7"/>
        <v>0</v>
      </c>
      <c r="I15" s="20">
        <f t="shared" si="1"/>
        <v>0</v>
      </c>
      <c r="J15" s="42"/>
      <c r="K15" s="98"/>
      <c r="L15" s="82"/>
      <c r="M15" s="19"/>
      <c r="N15" s="16"/>
      <c r="O15" s="31"/>
      <c r="P15" s="20"/>
      <c r="Q15" s="20"/>
      <c r="R15" s="20">
        <f t="shared" si="2"/>
        <v>0</v>
      </c>
      <c r="S15" s="20">
        <f t="shared" si="3"/>
        <v>0</v>
      </c>
      <c r="T15" s="42"/>
      <c r="AD15" s="42"/>
      <c r="AE15" s="53"/>
      <c r="AF15" s="82"/>
      <c r="AG15" s="29"/>
      <c r="AH15" s="31"/>
      <c r="AI15" s="16"/>
      <c r="AJ15" s="28"/>
      <c r="AK15" s="28"/>
      <c r="AL15" s="16"/>
      <c r="AM15" s="16"/>
      <c r="AN15" s="87"/>
      <c r="AO15" s="94"/>
      <c r="AP15" s="85"/>
      <c r="AQ15" s="19"/>
      <c r="AR15" s="19"/>
      <c r="AS15" s="76"/>
      <c r="AT15" s="21"/>
      <c r="AU15" s="21"/>
      <c r="AV15" s="20">
        <f t="shared" si="5"/>
        <v>0</v>
      </c>
      <c r="AW15" s="20">
        <f t="shared" si="6"/>
        <v>0</v>
      </c>
    </row>
    <row r="16" spans="1:49">
      <c r="A16" s="53"/>
      <c r="B16" s="82"/>
      <c r="C16" s="19"/>
      <c r="D16" s="19"/>
      <c r="E16" s="201"/>
      <c r="F16" s="21"/>
      <c r="G16" s="16"/>
      <c r="H16" s="20">
        <f t="shared" si="7"/>
        <v>0</v>
      </c>
      <c r="I16" s="20">
        <f t="shared" si="1"/>
        <v>0</v>
      </c>
      <c r="J16" s="42"/>
      <c r="K16" s="98"/>
      <c r="L16" s="82"/>
      <c r="M16" s="19"/>
      <c r="N16" s="16"/>
      <c r="O16" s="31"/>
      <c r="P16" s="20"/>
      <c r="Q16" s="20"/>
      <c r="R16" s="20">
        <f t="shared" si="2"/>
        <v>0</v>
      </c>
      <c r="S16" s="20">
        <f t="shared" si="3"/>
        <v>0</v>
      </c>
      <c r="T16" s="42"/>
      <c r="AD16" s="42"/>
      <c r="AE16" s="53"/>
      <c r="AF16" s="82"/>
      <c r="AG16" s="29"/>
      <c r="AH16" s="31"/>
      <c r="AI16" s="16"/>
      <c r="AJ16" s="25"/>
      <c r="AK16" s="25"/>
      <c r="AL16" s="16"/>
      <c r="AM16" s="16"/>
      <c r="AN16" s="42"/>
      <c r="AO16" s="94"/>
      <c r="AP16" s="85"/>
      <c r="AQ16" s="19"/>
      <c r="AR16" s="19"/>
      <c r="AS16" s="76"/>
      <c r="AT16" s="21"/>
      <c r="AU16" s="21"/>
      <c r="AV16" s="20">
        <f t="shared" si="5"/>
        <v>0</v>
      </c>
      <c r="AW16" s="20">
        <f t="shared" si="6"/>
        <v>0</v>
      </c>
    </row>
    <row r="17" spans="1:49">
      <c r="A17" s="53"/>
      <c r="B17" s="82"/>
      <c r="C17" s="19"/>
      <c r="D17" s="19"/>
      <c r="E17" s="201"/>
      <c r="F17" s="20"/>
      <c r="G17" s="20"/>
      <c r="H17" s="20">
        <f t="shared" si="7"/>
        <v>0</v>
      </c>
      <c r="I17" s="20">
        <f t="shared" si="1"/>
        <v>0</v>
      </c>
      <c r="J17" s="42"/>
      <c r="K17" s="98"/>
      <c r="L17" s="82"/>
      <c r="M17" s="19"/>
      <c r="N17" s="31"/>
      <c r="O17" s="31"/>
      <c r="P17" s="20"/>
      <c r="Q17" s="20"/>
      <c r="R17" s="20">
        <f t="shared" si="2"/>
        <v>0</v>
      </c>
      <c r="S17" s="20">
        <f t="shared" si="3"/>
        <v>0</v>
      </c>
      <c r="T17" s="42"/>
      <c r="AD17" s="42"/>
      <c r="AE17" s="53"/>
      <c r="AF17" s="82"/>
      <c r="AG17" s="29"/>
      <c r="AH17" s="31"/>
      <c r="AI17" s="16"/>
      <c r="AJ17" s="28"/>
      <c r="AK17" s="28"/>
      <c r="AL17" s="16"/>
      <c r="AM17" s="16"/>
      <c r="AN17" s="87"/>
      <c r="AO17" s="94"/>
      <c r="AP17" s="85"/>
      <c r="AQ17" s="19"/>
      <c r="AR17" s="19"/>
      <c r="AS17" s="76"/>
      <c r="AT17" s="21"/>
      <c r="AU17" s="21"/>
      <c r="AV17" s="20">
        <f t="shared" si="5"/>
        <v>0</v>
      </c>
      <c r="AW17" s="20">
        <f t="shared" si="6"/>
        <v>0</v>
      </c>
    </row>
    <row r="18" spans="1:49">
      <c r="A18" s="53"/>
      <c r="B18" s="85"/>
      <c r="C18" s="19"/>
      <c r="D18" s="19"/>
      <c r="E18" s="202"/>
      <c r="F18" s="20"/>
      <c r="G18" s="20"/>
      <c r="H18" s="20">
        <f t="shared" si="7"/>
        <v>0</v>
      </c>
      <c r="I18" s="20">
        <f t="shared" si="1"/>
        <v>0</v>
      </c>
      <c r="J18" s="42"/>
      <c r="K18" s="98"/>
      <c r="L18" s="82"/>
      <c r="M18" s="19"/>
      <c r="N18" s="16"/>
      <c r="O18" s="31"/>
      <c r="P18" s="20"/>
      <c r="Q18" s="20"/>
      <c r="R18" s="20">
        <f t="shared" si="2"/>
        <v>0</v>
      </c>
      <c r="S18" s="20">
        <f t="shared" si="3"/>
        <v>0</v>
      </c>
      <c r="T18" s="42"/>
      <c r="AD18" s="42"/>
      <c r="AE18" s="53"/>
      <c r="AF18" s="82"/>
      <c r="AG18" s="29"/>
      <c r="AH18" s="31"/>
      <c r="AI18" s="16"/>
      <c r="AJ18" s="20"/>
      <c r="AK18" s="20"/>
      <c r="AL18" s="16"/>
      <c r="AM18" s="16"/>
      <c r="AN18" s="87"/>
      <c r="AO18" s="94"/>
      <c r="AP18" s="85"/>
      <c r="AQ18" s="19"/>
      <c r="AR18" s="19"/>
      <c r="AS18" s="76"/>
      <c r="AT18" s="21"/>
      <c r="AU18" s="21"/>
      <c r="AV18" s="20">
        <f t="shared" si="5"/>
        <v>0</v>
      </c>
      <c r="AW18" s="20">
        <f t="shared" si="6"/>
        <v>0</v>
      </c>
    </row>
    <row r="19" spans="1:49">
      <c r="A19" s="53"/>
      <c r="B19" s="82"/>
      <c r="C19" s="58"/>
      <c r="D19" s="16"/>
      <c r="E19" s="202"/>
      <c r="F19" s="20"/>
      <c r="G19" s="20"/>
      <c r="H19" s="20">
        <f t="shared" si="7"/>
        <v>0</v>
      </c>
      <c r="I19" s="20">
        <f t="shared" si="1"/>
        <v>0</v>
      </c>
      <c r="J19" s="42"/>
      <c r="K19" s="98"/>
      <c r="L19" s="82"/>
      <c r="M19" s="19"/>
      <c r="N19" s="16"/>
      <c r="O19" s="31"/>
      <c r="P19" s="20"/>
      <c r="Q19" s="20"/>
      <c r="R19" s="20">
        <f t="shared" si="2"/>
        <v>0</v>
      </c>
      <c r="S19" s="20">
        <f t="shared" si="3"/>
        <v>0</v>
      </c>
      <c r="T19" s="42"/>
      <c r="AD19" s="42"/>
      <c r="AE19" s="53"/>
      <c r="AF19" s="82"/>
      <c r="AG19" s="29"/>
      <c r="AH19" s="31"/>
      <c r="AI19" s="16"/>
      <c r="AJ19" s="28"/>
      <c r="AK19" s="25"/>
      <c r="AL19" s="16"/>
      <c r="AM19" s="16"/>
      <c r="AN19" s="87"/>
      <c r="AO19" s="94"/>
      <c r="AP19" s="85"/>
      <c r="AQ19" s="19"/>
      <c r="AR19" s="19"/>
      <c r="AS19" s="76"/>
      <c r="AT19" s="21"/>
      <c r="AU19" s="21"/>
      <c r="AV19" s="20">
        <f t="shared" si="5"/>
        <v>0</v>
      </c>
      <c r="AW19" s="20">
        <f t="shared" si="6"/>
        <v>0</v>
      </c>
    </row>
    <row r="20" spans="1:49">
      <c r="A20" s="53"/>
      <c r="B20" s="82"/>
      <c r="C20" s="59"/>
      <c r="D20" s="16"/>
      <c r="E20" s="202"/>
      <c r="F20" s="20"/>
      <c r="G20" s="20"/>
      <c r="H20" s="20">
        <f t="shared" si="7"/>
        <v>0</v>
      </c>
      <c r="I20" s="20">
        <f t="shared" si="1"/>
        <v>0</v>
      </c>
      <c r="J20" s="42"/>
      <c r="K20" s="98"/>
      <c r="L20" s="82"/>
      <c r="M20" s="19"/>
      <c r="N20" s="16"/>
      <c r="O20" s="31"/>
      <c r="P20" s="20"/>
      <c r="Q20" s="20"/>
      <c r="R20" s="21">
        <f t="shared" si="2"/>
        <v>0</v>
      </c>
      <c r="S20" s="21">
        <f t="shared" si="3"/>
        <v>0</v>
      </c>
      <c r="T20" s="42"/>
      <c r="Z20" s="14"/>
      <c r="AD20" s="42"/>
      <c r="AE20" s="53"/>
      <c r="AF20" s="82"/>
      <c r="AG20" s="19"/>
      <c r="AH20" s="31"/>
      <c r="AI20" s="16"/>
      <c r="AJ20" s="20"/>
      <c r="AK20" s="20"/>
      <c r="AL20" s="16"/>
      <c r="AM20" s="16"/>
      <c r="AN20" s="42"/>
      <c r="AO20" s="94"/>
      <c r="AP20" s="85"/>
      <c r="AQ20" s="19"/>
      <c r="AR20" s="19"/>
      <c r="AS20" s="76"/>
      <c r="AT20" s="21"/>
      <c r="AU20" s="21"/>
      <c r="AV20" s="20">
        <f t="shared" si="5"/>
        <v>0</v>
      </c>
      <c r="AW20" s="20">
        <f t="shared" si="6"/>
        <v>0</v>
      </c>
    </row>
    <row r="21" spans="1:49">
      <c r="A21" s="53"/>
      <c r="B21" s="82"/>
      <c r="C21" s="19"/>
      <c r="D21" s="16"/>
      <c r="E21" s="202"/>
      <c r="F21" s="20"/>
      <c r="G21" s="20"/>
      <c r="H21" s="20">
        <f t="shared" si="7"/>
        <v>0</v>
      </c>
      <c r="I21" s="20">
        <f t="shared" si="1"/>
        <v>0</v>
      </c>
      <c r="J21" s="42"/>
      <c r="K21" s="98"/>
      <c r="L21" s="82"/>
      <c r="M21" s="19"/>
      <c r="N21" s="16"/>
      <c r="O21" s="31"/>
      <c r="P21" s="20"/>
      <c r="Q21" s="20"/>
      <c r="R21" s="21">
        <f t="shared" ref="R21:R32" si="8">+Q21*0.14</f>
        <v>0</v>
      </c>
      <c r="S21" s="21">
        <f t="shared" si="3"/>
        <v>0</v>
      </c>
      <c r="T21" s="42"/>
      <c r="AD21" s="42"/>
      <c r="AE21" s="53"/>
      <c r="AF21" s="82"/>
      <c r="AG21" s="29"/>
      <c r="AH21" s="31"/>
      <c r="AI21" s="16"/>
      <c r="AJ21" s="28"/>
      <c r="AK21" s="25"/>
      <c r="AL21" s="16"/>
      <c r="AM21" s="16"/>
      <c r="AN21" s="87"/>
      <c r="AO21" s="94"/>
      <c r="AP21" s="85"/>
      <c r="AQ21" s="19"/>
      <c r="AR21" s="19"/>
      <c r="AS21" s="76"/>
      <c r="AT21" s="21"/>
      <c r="AU21" s="21"/>
      <c r="AV21" s="20">
        <f t="shared" si="5"/>
        <v>0</v>
      </c>
      <c r="AW21" s="20">
        <f t="shared" si="6"/>
        <v>0</v>
      </c>
    </row>
    <row r="22" spans="1:49">
      <c r="A22" s="53"/>
      <c r="B22" s="82"/>
      <c r="C22" s="19"/>
      <c r="D22" s="16"/>
      <c r="E22" s="201"/>
      <c r="F22" s="20"/>
      <c r="G22" s="20"/>
      <c r="H22" s="20">
        <f t="shared" si="7"/>
        <v>0</v>
      </c>
      <c r="I22" s="20">
        <f t="shared" si="1"/>
        <v>0</v>
      </c>
      <c r="J22" s="42"/>
      <c r="K22" s="98"/>
      <c r="L22" s="82"/>
      <c r="M22" s="19"/>
      <c r="N22" s="16"/>
      <c r="O22" s="31"/>
      <c r="P22" s="20"/>
      <c r="Q22" s="20"/>
      <c r="R22" s="21">
        <f t="shared" si="8"/>
        <v>0</v>
      </c>
      <c r="S22" s="21">
        <f t="shared" si="3"/>
        <v>0</v>
      </c>
      <c r="T22" s="42"/>
      <c r="AD22" s="42"/>
      <c r="AE22" s="53"/>
      <c r="AF22" s="82"/>
      <c r="AG22" s="19"/>
      <c r="AH22" s="31"/>
      <c r="AI22" s="16"/>
      <c r="AJ22" s="16"/>
      <c r="AK22" s="20"/>
      <c r="AL22" s="16"/>
      <c r="AM22" s="16"/>
      <c r="AN22" s="87"/>
      <c r="AO22" s="94"/>
      <c r="AP22" s="85"/>
      <c r="AQ22" s="19"/>
      <c r="AR22" s="19"/>
      <c r="AS22" s="76"/>
      <c r="AT22" s="21"/>
      <c r="AU22" s="21"/>
      <c r="AV22" s="20">
        <f t="shared" si="5"/>
        <v>0</v>
      </c>
      <c r="AW22" s="20">
        <f t="shared" si="6"/>
        <v>0</v>
      </c>
    </row>
    <row r="23" spans="1:49">
      <c r="A23" s="53"/>
      <c r="B23" s="82"/>
      <c r="C23" s="19"/>
      <c r="D23" s="16"/>
      <c r="E23" s="201"/>
      <c r="F23" s="20"/>
      <c r="G23" s="20"/>
      <c r="H23" s="20">
        <f t="shared" si="7"/>
        <v>0</v>
      </c>
      <c r="I23" s="20">
        <f t="shared" si="1"/>
        <v>0</v>
      </c>
      <c r="J23" s="42"/>
      <c r="K23" s="98"/>
      <c r="L23" s="82"/>
      <c r="M23" s="19"/>
      <c r="N23" s="16"/>
      <c r="O23" s="31"/>
      <c r="P23" s="20"/>
      <c r="Q23" s="20"/>
      <c r="R23" s="21">
        <f t="shared" si="8"/>
        <v>0</v>
      </c>
      <c r="S23" s="21">
        <f t="shared" si="3"/>
        <v>0</v>
      </c>
      <c r="T23" s="42"/>
      <c r="AD23" s="42"/>
      <c r="AE23" s="53"/>
      <c r="AF23" s="82"/>
      <c r="AG23" s="19"/>
      <c r="AH23" s="31"/>
      <c r="AI23" s="16"/>
      <c r="AJ23" s="16"/>
      <c r="AK23" s="16"/>
      <c r="AL23" s="16"/>
      <c r="AM23" s="16"/>
      <c r="AN23" s="87"/>
      <c r="AO23" s="53"/>
      <c r="AP23" s="85"/>
      <c r="AQ23" s="19"/>
      <c r="AR23" s="19"/>
      <c r="AS23" s="76"/>
      <c r="AT23" s="21"/>
      <c r="AU23" s="21"/>
      <c r="AV23" s="20">
        <f t="shared" si="5"/>
        <v>0</v>
      </c>
      <c r="AW23" s="20">
        <f t="shared" si="6"/>
        <v>0</v>
      </c>
    </row>
    <row r="24" spans="1:49">
      <c r="A24" s="53"/>
      <c r="B24" s="82"/>
      <c r="C24" s="19"/>
      <c r="D24" s="16"/>
      <c r="E24" s="201"/>
      <c r="F24" s="20"/>
      <c r="G24" s="14"/>
      <c r="H24" s="20">
        <f t="shared" ref="H24:H37" si="9">+G24*0.12</f>
        <v>0</v>
      </c>
      <c r="I24" s="20">
        <f t="shared" si="1"/>
        <v>0</v>
      </c>
      <c r="J24" s="42"/>
      <c r="K24" s="98"/>
      <c r="L24" s="82"/>
      <c r="M24" s="19"/>
      <c r="N24" s="16"/>
      <c r="O24" s="31"/>
      <c r="P24" s="20"/>
      <c r="Q24" s="20"/>
      <c r="R24" s="21">
        <f t="shared" si="8"/>
        <v>0</v>
      </c>
      <c r="S24" s="21">
        <f t="shared" si="3"/>
        <v>0</v>
      </c>
      <c r="T24" s="42"/>
      <c r="AD24" s="42"/>
      <c r="AE24" s="53"/>
      <c r="AF24" s="82"/>
      <c r="AG24" s="19"/>
      <c r="AH24" s="31"/>
      <c r="AI24" s="16"/>
      <c r="AJ24" s="16"/>
      <c r="AK24" s="16"/>
      <c r="AL24" s="16"/>
      <c r="AM24" s="16"/>
      <c r="AN24" s="87"/>
      <c r="AO24" s="53"/>
      <c r="AP24" s="85"/>
      <c r="AQ24" s="19"/>
      <c r="AR24" s="19"/>
      <c r="AS24" s="76"/>
      <c r="AT24" s="21"/>
      <c r="AU24" s="21"/>
      <c r="AV24" s="20">
        <f t="shared" si="5"/>
        <v>0</v>
      </c>
      <c r="AW24" s="20">
        <f t="shared" si="6"/>
        <v>0</v>
      </c>
    </row>
    <row r="25" spans="1:49">
      <c r="A25" s="53"/>
      <c r="B25" s="82"/>
      <c r="C25" s="19"/>
      <c r="D25" s="16"/>
      <c r="E25" s="202"/>
      <c r="F25" s="20"/>
      <c r="G25" s="20"/>
      <c r="H25" s="20">
        <f t="shared" si="9"/>
        <v>0</v>
      </c>
      <c r="I25" s="20">
        <f t="shared" si="1"/>
        <v>0</v>
      </c>
      <c r="J25" s="42"/>
      <c r="K25" s="98"/>
      <c r="L25" s="82"/>
      <c r="M25" s="19"/>
      <c r="N25" s="16"/>
      <c r="O25" s="31"/>
      <c r="P25" s="20"/>
      <c r="Q25" s="20"/>
      <c r="R25" s="21">
        <f t="shared" si="8"/>
        <v>0</v>
      </c>
      <c r="S25" s="21">
        <f t="shared" si="3"/>
        <v>0</v>
      </c>
      <c r="T25" s="42"/>
      <c r="AD25" s="42"/>
      <c r="AE25" s="53"/>
      <c r="AF25" s="82"/>
      <c r="AG25" s="29"/>
      <c r="AH25" s="31"/>
      <c r="AI25" s="16"/>
      <c r="AJ25" s="27"/>
      <c r="AK25" s="27"/>
      <c r="AL25" s="16"/>
      <c r="AM25" s="16"/>
      <c r="AN25" s="87"/>
      <c r="AO25" s="53"/>
      <c r="AP25" s="85"/>
      <c r="AQ25" s="19"/>
      <c r="AR25" s="19"/>
      <c r="AS25" s="76"/>
      <c r="AT25" s="21"/>
      <c r="AU25" s="21"/>
      <c r="AV25" s="20">
        <f t="shared" si="5"/>
        <v>0</v>
      </c>
      <c r="AW25" s="20">
        <f t="shared" si="6"/>
        <v>0</v>
      </c>
    </row>
    <row r="26" spans="1:49">
      <c r="A26" s="53"/>
      <c r="B26" s="82"/>
      <c r="C26" s="19"/>
      <c r="D26" s="16"/>
      <c r="E26" s="202"/>
      <c r="F26" s="21"/>
      <c r="G26" s="20"/>
      <c r="H26" s="20">
        <f t="shared" si="9"/>
        <v>0</v>
      </c>
      <c r="I26" s="20">
        <f t="shared" si="1"/>
        <v>0</v>
      </c>
      <c r="J26" s="42"/>
      <c r="K26" s="98"/>
      <c r="L26" s="82"/>
      <c r="M26" s="19"/>
      <c r="N26" s="16"/>
      <c r="O26" s="31"/>
      <c r="P26" s="20"/>
      <c r="Q26" s="20"/>
      <c r="R26" s="21">
        <f t="shared" si="8"/>
        <v>0</v>
      </c>
      <c r="S26" s="21">
        <f t="shared" si="3"/>
        <v>0</v>
      </c>
      <c r="T26" s="42"/>
      <c r="AD26" s="42"/>
      <c r="AE26" s="53"/>
      <c r="AF26" s="82"/>
      <c r="AG26" s="19"/>
      <c r="AH26" s="31"/>
      <c r="AI26" s="16"/>
      <c r="AJ26" s="27"/>
      <c r="AK26" s="27"/>
      <c r="AL26" s="16"/>
      <c r="AM26" s="16"/>
      <c r="AN26" s="87"/>
      <c r="AO26" s="53"/>
      <c r="AP26" s="85"/>
      <c r="AQ26" s="19"/>
      <c r="AR26" s="19"/>
      <c r="AS26" s="76"/>
      <c r="AT26" s="21"/>
      <c r="AU26" s="21"/>
      <c r="AV26" s="20">
        <f t="shared" ref="AV26:AV36" si="10">+AU26*0.12</f>
        <v>0</v>
      </c>
      <c r="AW26" s="20">
        <f t="shared" si="6"/>
        <v>0</v>
      </c>
    </row>
    <row r="27" spans="1:49">
      <c r="A27" s="53"/>
      <c r="B27" s="82"/>
      <c r="C27" s="19"/>
      <c r="D27" s="16"/>
      <c r="E27" s="202"/>
      <c r="F27" s="21"/>
      <c r="G27" s="20"/>
      <c r="H27" s="20">
        <f t="shared" si="9"/>
        <v>0</v>
      </c>
      <c r="I27" s="20">
        <f t="shared" si="1"/>
        <v>0</v>
      </c>
      <c r="J27" s="42"/>
      <c r="K27" s="98"/>
      <c r="L27" s="82"/>
      <c r="M27" s="19"/>
      <c r="N27" s="16"/>
      <c r="O27" s="31"/>
      <c r="P27" s="20"/>
      <c r="Q27" s="20"/>
      <c r="R27" s="21">
        <f t="shared" si="8"/>
        <v>0</v>
      </c>
      <c r="S27" s="21">
        <f t="shared" si="3"/>
        <v>0</v>
      </c>
      <c r="T27" s="42"/>
      <c r="AD27" s="88"/>
      <c r="AE27" s="53"/>
      <c r="AF27" s="82"/>
      <c r="AG27" s="19"/>
      <c r="AH27" s="31"/>
      <c r="AI27" s="16"/>
      <c r="AJ27" s="27"/>
      <c r="AK27" s="27"/>
      <c r="AL27" s="16"/>
      <c r="AM27" s="16"/>
      <c r="AN27" s="87"/>
      <c r="AO27" s="53"/>
      <c r="AP27" s="85"/>
      <c r="AQ27" s="19"/>
      <c r="AR27" s="19"/>
      <c r="AS27" s="76"/>
      <c r="AT27" s="21"/>
      <c r="AU27" s="21"/>
      <c r="AV27" s="20">
        <f t="shared" si="10"/>
        <v>0</v>
      </c>
      <c r="AW27" s="20">
        <f t="shared" si="6"/>
        <v>0</v>
      </c>
    </row>
    <row r="28" spans="1:49">
      <c r="A28" s="53"/>
      <c r="B28" s="82"/>
      <c r="C28" s="19"/>
      <c r="D28" s="16"/>
      <c r="E28" s="202"/>
      <c r="F28" s="21"/>
      <c r="G28" s="20"/>
      <c r="H28" s="20">
        <f t="shared" si="9"/>
        <v>0</v>
      </c>
      <c r="I28" s="20">
        <f t="shared" si="1"/>
        <v>0</v>
      </c>
      <c r="J28" s="42"/>
      <c r="K28" s="98"/>
      <c r="L28" s="82"/>
      <c r="M28" s="19"/>
      <c r="N28" s="16"/>
      <c r="O28" s="31"/>
      <c r="P28" s="20"/>
      <c r="Q28" s="20"/>
      <c r="R28" s="21">
        <f t="shared" si="8"/>
        <v>0</v>
      </c>
      <c r="S28" s="21">
        <f t="shared" si="3"/>
        <v>0</v>
      </c>
      <c r="T28" s="42"/>
      <c r="AE28" s="53"/>
      <c r="AF28" s="82"/>
      <c r="AG28" s="19"/>
      <c r="AH28" s="31"/>
      <c r="AI28" s="16"/>
      <c r="AJ28" s="27"/>
      <c r="AK28" s="25"/>
      <c r="AL28" s="16"/>
      <c r="AM28" s="16"/>
      <c r="AN28" s="87"/>
      <c r="AO28" s="53"/>
      <c r="AP28" s="85"/>
      <c r="AQ28" s="19"/>
      <c r="AR28" s="19"/>
      <c r="AS28" s="76"/>
      <c r="AT28" s="21"/>
      <c r="AU28" s="21"/>
      <c r="AV28" s="20">
        <f t="shared" si="10"/>
        <v>0</v>
      </c>
      <c r="AW28" s="20">
        <f t="shared" si="6"/>
        <v>0</v>
      </c>
    </row>
    <row r="29" spans="1:49">
      <c r="A29" s="53"/>
      <c r="B29" s="82"/>
      <c r="C29" s="19"/>
      <c r="D29" s="16"/>
      <c r="E29" s="202"/>
      <c r="F29" s="21"/>
      <c r="G29" s="20"/>
      <c r="H29" s="20">
        <f t="shared" si="9"/>
        <v>0</v>
      </c>
      <c r="I29" s="20">
        <f t="shared" si="1"/>
        <v>0</v>
      </c>
      <c r="J29" s="42"/>
      <c r="K29" s="98"/>
      <c r="L29" s="82"/>
      <c r="M29" s="19"/>
      <c r="N29" s="16"/>
      <c r="O29" s="31"/>
      <c r="P29" s="20"/>
      <c r="Q29" s="20"/>
      <c r="R29" s="21">
        <f t="shared" si="8"/>
        <v>0</v>
      </c>
      <c r="S29" s="21">
        <f t="shared" si="3"/>
        <v>0</v>
      </c>
      <c r="T29" s="42"/>
      <c r="AE29" s="53"/>
      <c r="AF29" s="82"/>
      <c r="AG29" s="29"/>
      <c r="AH29" s="31"/>
      <c r="AI29" s="16"/>
      <c r="AJ29" s="27"/>
      <c r="AK29" s="27"/>
      <c r="AL29" s="16"/>
      <c r="AM29" s="16"/>
      <c r="AN29" s="87"/>
      <c r="AO29" s="53"/>
      <c r="AP29" s="85"/>
      <c r="AQ29" s="19"/>
      <c r="AR29" s="19"/>
      <c r="AS29" s="76"/>
      <c r="AT29" s="21"/>
      <c r="AU29" s="21"/>
      <c r="AV29" s="20">
        <f t="shared" si="10"/>
        <v>0</v>
      </c>
      <c r="AW29" s="20">
        <f t="shared" si="6"/>
        <v>0</v>
      </c>
    </row>
    <row r="30" spans="1:49">
      <c r="A30" s="53"/>
      <c r="B30" s="82"/>
      <c r="C30" s="19"/>
      <c r="D30" s="19"/>
      <c r="E30" s="202"/>
      <c r="F30" s="21"/>
      <c r="G30" s="20"/>
      <c r="H30" s="20">
        <f t="shared" si="9"/>
        <v>0</v>
      </c>
      <c r="I30" s="20">
        <f t="shared" si="1"/>
        <v>0</v>
      </c>
      <c r="J30" s="42"/>
      <c r="K30" s="98"/>
      <c r="L30" s="82"/>
      <c r="M30" s="19"/>
      <c r="N30" s="16"/>
      <c r="O30" s="31"/>
      <c r="P30" s="20"/>
      <c r="Q30" s="20"/>
      <c r="R30" s="21">
        <f t="shared" si="8"/>
        <v>0</v>
      </c>
      <c r="S30" s="21">
        <f t="shared" si="3"/>
        <v>0</v>
      </c>
      <c r="T30" s="42"/>
      <c r="AE30" s="53"/>
      <c r="AF30" s="82"/>
      <c r="AG30" s="19"/>
      <c r="AH30" s="31"/>
      <c r="AI30" s="16"/>
      <c r="AJ30" s="27"/>
      <c r="AK30" s="27"/>
      <c r="AL30" s="16"/>
      <c r="AM30" s="16"/>
      <c r="AN30" s="87"/>
      <c r="AO30" s="53"/>
      <c r="AP30" s="85"/>
      <c r="AQ30" s="19"/>
      <c r="AR30" s="19"/>
      <c r="AS30" s="76"/>
      <c r="AT30" s="21"/>
      <c r="AU30" s="21"/>
      <c r="AV30" s="20">
        <f t="shared" si="10"/>
        <v>0</v>
      </c>
      <c r="AW30" s="20">
        <f t="shared" si="6"/>
        <v>0</v>
      </c>
    </row>
    <row r="31" spans="1:49">
      <c r="A31" s="53"/>
      <c r="B31" s="82"/>
      <c r="C31" s="19"/>
      <c r="D31" s="19"/>
      <c r="E31" s="76"/>
      <c r="F31" s="16"/>
      <c r="G31" s="20"/>
      <c r="H31" s="20">
        <f t="shared" si="9"/>
        <v>0</v>
      </c>
      <c r="I31" s="20">
        <f t="shared" si="1"/>
        <v>0</v>
      </c>
      <c r="J31" s="42"/>
      <c r="K31" s="98"/>
      <c r="L31" s="85"/>
      <c r="M31" s="19"/>
      <c r="N31" s="19"/>
      <c r="O31" s="76"/>
      <c r="P31" s="21"/>
      <c r="Q31" s="21"/>
      <c r="R31" s="21">
        <f t="shared" si="8"/>
        <v>0</v>
      </c>
      <c r="S31" s="21">
        <f t="shared" si="3"/>
        <v>0</v>
      </c>
      <c r="T31" s="42"/>
      <c r="AE31" s="53"/>
      <c r="AF31" s="82"/>
      <c r="AG31" s="19"/>
      <c r="AH31" s="31"/>
      <c r="AI31" s="16"/>
      <c r="AJ31" s="27"/>
      <c r="AK31" s="27"/>
      <c r="AL31" s="16"/>
      <c r="AM31" s="16"/>
      <c r="AN31" s="87"/>
      <c r="AO31" s="53"/>
      <c r="AP31" s="85"/>
      <c r="AQ31" s="19"/>
      <c r="AR31" s="19"/>
      <c r="AS31" s="76"/>
      <c r="AT31" s="21"/>
      <c r="AU31" s="21"/>
      <c r="AV31" s="20">
        <f t="shared" si="10"/>
        <v>0</v>
      </c>
      <c r="AW31" s="20">
        <f t="shared" si="6"/>
        <v>0</v>
      </c>
    </row>
    <row r="32" spans="1:49">
      <c r="A32" s="53"/>
      <c r="B32" s="82"/>
      <c r="C32" s="19"/>
      <c r="D32" s="19"/>
      <c r="E32" s="76"/>
      <c r="F32" s="20"/>
      <c r="G32" s="20"/>
      <c r="H32" s="20">
        <f t="shared" si="9"/>
        <v>0</v>
      </c>
      <c r="I32" s="20">
        <f t="shared" si="1"/>
        <v>0</v>
      </c>
      <c r="J32" s="42"/>
      <c r="K32" s="98"/>
      <c r="L32" s="85"/>
      <c r="M32" s="19"/>
      <c r="N32" s="19"/>
      <c r="O32" s="76"/>
      <c r="P32" s="21"/>
      <c r="Q32" s="21"/>
      <c r="R32" s="21">
        <f t="shared" si="8"/>
        <v>0</v>
      </c>
      <c r="S32" s="21">
        <f t="shared" si="3"/>
        <v>0</v>
      </c>
      <c r="T32" s="42"/>
      <c r="AE32" s="53"/>
      <c r="AF32" s="82"/>
      <c r="AG32" s="19"/>
      <c r="AH32" s="31"/>
      <c r="AI32" s="16"/>
      <c r="AJ32" s="27"/>
      <c r="AK32" s="27"/>
      <c r="AL32" s="16"/>
      <c r="AM32" s="16"/>
      <c r="AN32" s="87"/>
      <c r="AO32" s="53"/>
      <c r="AP32" s="85"/>
      <c r="AQ32" s="19"/>
      <c r="AR32" s="19"/>
      <c r="AS32" s="76"/>
      <c r="AT32" s="21"/>
      <c r="AU32" s="21"/>
      <c r="AV32" s="20">
        <f t="shared" si="10"/>
        <v>0</v>
      </c>
      <c r="AW32" s="20">
        <f t="shared" si="6"/>
        <v>0</v>
      </c>
    </row>
    <row r="33" spans="1:50">
      <c r="A33" s="53"/>
      <c r="B33" s="82"/>
      <c r="C33" s="19"/>
      <c r="D33" s="16"/>
      <c r="E33" s="40"/>
      <c r="F33" s="20"/>
      <c r="G33" s="20"/>
      <c r="H33" s="20">
        <f t="shared" si="9"/>
        <v>0</v>
      </c>
      <c r="I33" s="20">
        <f t="shared" si="1"/>
        <v>0</v>
      </c>
      <c r="J33" s="42"/>
      <c r="P33" s="113">
        <f>SUM(P5:P32)</f>
        <v>0</v>
      </c>
      <c r="Q33" s="113">
        <f t="shared" ref="Q33:S33" si="11">SUM(Q5:Q32)</f>
        <v>0</v>
      </c>
      <c r="R33" s="113">
        <f t="shared" si="11"/>
        <v>0</v>
      </c>
      <c r="S33" s="113">
        <f t="shared" si="11"/>
        <v>0</v>
      </c>
      <c r="T33" s="42"/>
      <c r="AE33" s="53"/>
      <c r="AF33" s="82"/>
      <c r="AG33" s="19"/>
      <c r="AH33" s="31"/>
      <c r="AI33" s="16"/>
      <c r="AJ33" s="27"/>
      <c r="AK33" s="27"/>
      <c r="AL33" s="16"/>
      <c r="AM33" s="16"/>
      <c r="AN33" s="87"/>
      <c r="AO33" s="53"/>
      <c r="AP33" s="85"/>
      <c r="AQ33" s="19"/>
      <c r="AR33" s="19"/>
      <c r="AS33" s="76"/>
      <c r="AT33" s="21"/>
      <c r="AU33" s="21"/>
      <c r="AV33" s="20">
        <f t="shared" si="10"/>
        <v>0</v>
      </c>
      <c r="AW33" s="20">
        <f t="shared" si="6"/>
        <v>0</v>
      </c>
    </row>
    <row r="34" spans="1:50">
      <c r="A34" s="53"/>
      <c r="B34" s="82"/>
      <c r="C34" s="19"/>
      <c r="D34" s="16"/>
      <c r="E34" s="31"/>
      <c r="F34" s="20"/>
      <c r="G34" s="20"/>
      <c r="H34" s="20">
        <f t="shared" si="9"/>
        <v>0</v>
      </c>
      <c r="I34" s="20">
        <f t="shared" si="1"/>
        <v>0</v>
      </c>
      <c r="J34" s="42"/>
      <c r="P34" s="15"/>
      <c r="Q34" s="15"/>
      <c r="R34" s="15"/>
      <c r="S34" s="15"/>
      <c r="T34" s="42"/>
      <c r="AE34" s="53"/>
      <c r="AF34" s="82"/>
      <c r="AG34" s="19"/>
      <c r="AH34" s="31"/>
      <c r="AI34" s="16"/>
      <c r="AJ34" s="27"/>
      <c r="AK34" s="27"/>
      <c r="AL34" s="16"/>
      <c r="AM34" s="16"/>
      <c r="AN34" s="87"/>
      <c r="AO34" s="53"/>
      <c r="AP34" s="85"/>
      <c r="AQ34" s="19"/>
      <c r="AR34" s="19"/>
      <c r="AS34" s="76"/>
      <c r="AT34" s="21"/>
      <c r="AU34" s="21"/>
      <c r="AV34" s="20">
        <f t="shared" si="10"/>
        <v>0</v>
      </c>
      <c r="AW34" s="20">
        <f t="shared" si="6"/>
        <v>0</v>
      </c>
      <c r="AX34" s="62"/>
    </row>
    <row r="35" spans="1:50">
      <c r="A35" s="53"/>
      <c r="B35" s="82"/>
      <c r="C35" s="19"/>
      <c r="D35" s="16"/>
      <c r="E35" s="40"/>
      <c r="F35" s="20"/>
      <c r="G35" s="20"/>
      <c r="H35" s="20">
        <f t="shared" si="9"/>
        <v>0</v>
      </c>
      <c r="I35" s="20">
        <f t="shared" si="1"/>
        <v>0</v>
      </c>
      <c r="J35" s="42"/>
      <c r="P35" s="114">
        <f>+P33+Q33</f>
        <v>0</v>
      </c>
      <c r="Q35" s="15"/>
      <c r="R35" s="15"/>
      <c r="S35" s="15"/>
      <c r="T35" s="42"/>
      <c r="AE35" s="53"/>
      <c r="AF35" s="82"/>
      <c r="AG35" s="19"/>
      <c r="AH35" s="31"/>
      <c r="AI35" s="16"/>
      <c r="AJ35" s="27"/>
      <c r="AK35" s="27"/>
      <c r="AL35" s="16"/>
      <c r="AM35" s="16"/>
      <c r="AN35" s="87"/>
      <c r="AO35" s="53"/>
      <c r="AP35" s="85"/>
      <c r="AQ35" s="19"/>
      <c r="AR35" s="19"/>
      <c r="AS35" s="76"/>
      <c r="AT35" s="21"/>
      <c r="AU35" s="21"/>
      <c r="AV35" s="20">
        <f t="shared" si="10"/>
        <v>0</v>
      </c>
      <c r="AW35" s="20">
        <f t="shared" si="6"/>
        <v>0</v>
      </c>
    </row>
    <row r="36" spans="1:50">
      <c r="A36" s="53"/>
      <c r="B36" s="82"/>
      <c r="C36" s="19"/>
      <c r="D36" s="16"/>
      <c r="E36" s="31"/>
      <c r="F36" s="20"/>
      <c r="G36" s="20"/>
      <c r="H36" s="20">
        <f t="shared" si="9"/>
        <v>0</v>
      </c>
      <c r="I36" s="20">
        <f t="shared" si="1"/>
        <v>0</v>
      </c>
      <c r="J36" s="42"/>
      <c r="T36" s="42"/>
      <c r="AE36" s="53"/>
      <c r="AF36" s="82"/>
      <c r="AG36" s="19"/>
      <c r="AH36" s="31"/>
      <c r="AI36" s="16"/>
      <c r="AJ36" s="27"/>
      <c r="AK36" s="27"/>
      <c r="AL36" s="16"/>
      <c r="AM36" s="16"/>
      <c r="AN36" s="87"/>
      <c r="AO36" s="53"/>
      <c r="AP36" s="85"/>
      <c r="AQ36" s="19"/>
      <c r="AR36" s="19"/>
      <c r="AS36" s="76"/>
      <c r="AT36" s="21"/>
      <c r="AU36" s="21"/>
      <c r="AV36" s="20">
        <f t="shared" si="10"/>
        <v>0</v>
      </c>
      <c r="AW36" s="20">
        <f t="shared" si="6"/>
        <v>0</v>
      </c>
    </row>
    <row r="37" spans="1:50">
      <c r="A37" s="53"/>
      <c r="B37" s="82"/>
      <c r="C37" s="19"/>
      <c r="D37" s="16"/>
      <c r="E37" s="40"/>
      <c r="F37" s="20"/>
      <c r="G37" s="20"/>
      <c r="H37" s="20">
        <f t="shared" si="9"/>
        <v>0</v>
      </c>
      <c r="I37" s="20">
        <f t="shared" ref="I37:I61" si="12">+F37+G37+H37</f>
        <v>0</v>
      </c>
      <c r="J37" s="42"/>
      <c r="O37" t="s">
        <v>224</v>
      </c>
      <c r="P37" s="15">
        <v>3630.25</v>
      </c>
      <c r="T37" s="42"/>
      <c r="AE37" s="53"/>
      <c r="AF37" s="82"/>
      <c r="AG37" s="19"/>
      <c r="AH37" s="31"/>
      <c r="AI37" s="16"/>
      <c r="AJ37" s="27"/>
      <c r="AK37" s="27"/>
      <c r="AL37" s="16"/>
      <c r="AM37" s="16"/>
      <c r="AN37" s="42"/>
      <c r="AO37" s="53"/>
      <c r="AP37" s="85"/>
      <c r="AQ37" s="19"/>
      <c r="AR37" s="19"/>
      <c r="AS37" s="76"/>
      <c r="AT37" s="21"/>
      <c r="AU37" s="21"/>
      <c r="AV37" s="20">
        <f t="shared" ref="AV37:AV45" si="13">+AU37*0.12</f>
        <v>0</v>
      </c>
      <c r="AW37" s="20">
        <f t="shared" si="6"/>
        <v>0</v>
      </c>
    </row>
    <row r="38" spans="1:50">
      <c r="A38" s="53"/>
      <c r="B38" s="82"/>
      <c r="C38" s="57"/>
      <c r="D38" s="16"/>
      <c r="E38" s="31"/>
      <c r="F38" s="20"/>
      <c r="G38" s="20"/>
      <c r="H38" s="20">
        <f t="shared" ref="H38:H51" si="14">+G38*0.14</f>
        <v>0</v>
      </c>
      <c r="I38" s="20">
        <f t="shared" si="12"/>
        <v>0</v>
      </c>
      <c r="J38" s="42"/>
      <c r="P38" s="15"/>
      <c r="T38" s="42"/>
      <c r="AE38" s="53"/>
      <c r="AF38" s="82"/>
      <c r="AG38" s="19"/>
      <c r="AH38" s="31"/>
      <c r="AI38" s="16"/>
      <c r="AJ38" s="27"/>
      <c r="AK38" s="27"/>
      <c r="AL38" s="16"/>
      <c r="AM38" s="16"/>
      <c r="AN38" s="42"/>
      <c r="AO38" s="53"/>
      <c r="AP38" s="85"/>
      <c r="AQ38" s="32"/>
      <c r="AR38" s="19"/>
      <c r="AS38" s="76"/>
      <c r="AT38" s="95"/>
      <c r="AU38" s="21"/>
      <c r="AV38" s="20">
        <f t="shared" si="13"/>
        <v>0</v>
      </c>
      <c r="AW38" s="20">
        <f t="shared" si="6"/>
        <v>0</v>
      </c>
    </row>
    <row r="39" spans="1:50">
      <c r="A39" s="53"/>
      <c r="B39" s="82"/>
      <c r="C39" s="60"/>
      <c r="D39" s="16"/>
      <c r="E39" s="31"/>
      <c r="F39" s="20"/>
      <c r="G39" s="20"/>
      <c r="H39" s="20">
        <f t="shared" si="14"/>
        <v>0</v>
      </c>
      <c r="I39" s="20">
        <f t="shared" si="12"/>
        <v>0</v>
      </c>
      <c r="J39" s="42"/>
      <c r="T39" s="42"/>
      <c r="AE39" s="53"/>
      <c r="AF39" s="82"/>
      <c r="AG39" s="19"/>
      <c r="AH39" s="31"/>
      <c r="AI39" s="16"/>
      <c r="AJ39" s="27"/>
      <c r="AK39" s="27"/>
      <c r="AL39" s="16"/>
      <c r="AM39" s="16"/>
      <c r="AN39" s="88"/>
      <c r="AO39" s="53"/>
      <c r="AP39" s="85"/>
      <c r="AQ39" s="19"/>
      <c r="AR39" s="19"/>
      <c r="AS39" s="76"/>
      <c r="AT39" s="21"/>
      <c r="AU39" s="21"/>
      <c r="AV39" s="20">
        <f t="shared" si="13"/>
        <v>0</v>
      </c>
      <c r="AW39" s="20">
        <f t="shared" si="6"/>
        <v>0</v>
      </c>
    </row>
    <row r="40" spans="1:50">
      <c r="A40" s="53"/>
      <c r="B40" s="82"/>
      <c r="C40" s="19"/>
      <c r="D40" s="16"/>
      <c r="E40" s="31"/>
      <c r="F40" s="20"/>
      <c r="G40" s="20"/>
      <c r="H40" s="20">
        <f t="shared" si="14"/>
        <v>0</v>
      </c>
      <c r="I40" s="20">
        <f t="shared" si="12"/>
        <v>0</v>
      </c>
      <c r="J40" s="42"/>
      <c r="T40" s="64"/>
      <c r="AE40" s="53"/>
      <c r="AF40" s="82"/>
      <c r="AG40" s="19"/>
      <c r="AH40" s="31"/>
      <c r="AI40" s="16"/>
      <c r="AJ40" s="27"/>
      <c r="AK40" s="27"/>
      <c r="AL40" s="16"/>
      <c r="AM40" s="16"/>
      <c r="AO40" s="53"/>
      <c r="AP40" s="85"/>
      <c r="AQ40" s="19"/>
      <c r="AR40" s="19"/>
      <c r="AS40" s="76"/>
      <c r="AT40" s="21"/>
      <c r="AU40" s="21"/>
      <c r="AV40" s="20">
        <f t="shared" si="13"/>
        <v>0</v>
      </c>
      <c r="AW40" s="20">
        <f t="shared" si="6"/>
        <v>0</v>
      </c>
    </row>
    <row r="41" spans="1:50">
      <c r="A41" s="53"/>
      <c r="B41" s="82"/>
      <c r="C41" s="19"/>
      <c r="D41" s="16"/>
      <c r="E41" s="40"/>
      <c r="F41" s="21"/>
      <c r="G41" s="20"/>
      <c r="H41" s="20">
        <f t="shared" si="14"/>
        <v>0</v>
      </c>
      <c r="I41" s="20">
        <f t="shared" si="12"/>
        <v>0</v>
      </c>
      <c r="J41" s="42"/>
      <c r="T41" s="64"/>
      <c r="AJ41" s="27">
        <f>SUM(AJ5:AJ40)</f>
        <v>0</v>
      </c>
      <c r="AK41" s="27">
        <f t="shared" ref="AK41:AM41" si="15">SUM(AK5:AK40)</f>
        <v>0</v>
      </c>
      <c r="AL41" s="27">
        <f t="shared" si="15"/>
        <v>0</v>
      </c>
      <c r="AM41" s="27">
        <f t="shared" si="15"/>
        <v>0</v>
      </c>
      <c r="AO41" s="53"/>
      <c r="AP41" s="85"/>
      <c r="AQ41" s="19"/>
      <c r="AR41" s="19"/>
      <c r="AS41" s="76"/>
      <c r="AT41" s="21"/>
      <c r="AU41" s="21"/>
      <c r="AV41" s="20">
        <f t="shared" si="13"/>
        <v>0</v>
      </c>
      <c r="AW41" s="20">
        <f t="shared" si="6"/>
        <v>0</v>
      </c>
    </row>
    <row r="42" spans="1:50">
      <c r="A42" s="53"/>
      <c r="B42" s="82"/>
      <c r="C42" s="19"/>
      <c r="D42" s="16"/>
      <c r="E42" s="31"/>
      <c r="F42" s="20"/>
      <c r="G42" s="20"/>
      <c r="H42" s="20">
        <f t="shared" si="14"/>
        <v>0</v>
      </c>
      <c r="I42" s="20">
        <f t="shared" si="12"/>
        <v>0</v>
      </c>
      <c r="J42" s="42"/>
      <c r="T42" s="64"/>
      <c r="AO42" s="53"/>
      <c r="AP42" s="85"/>
      <c r="AQ42" s="19"/>
      <c r="AR42" s="19"/>
      <c r="AS42" s="76"/>
      <c r="AT42" s="21"/>
      <c r="AU42" s="21"/>
      <c r="AV42" s="20">
        <f t="shared" si="13"/>
        <v>0</v>
      </c>
      <c r="AW42" s="20">
        <f t="shared" si="6"/>
        <v>0</v>
      </c>
    </row>
    <row r="43" spans="1:50">
      <c r="A43" s="53"/>
      <c r="B43" s="82"/>
      <c r="C43" s="19"/>
      <c r="D43" s="16"/>
      <c r="E43" s="40"/>
      <c r="F43" s="20"/>
      <c r="G43" s="20"/>
      <c r="H43" s="20">
        <f t="shared" si="14"/>
        <v>0</v>
      </c>
      <c r="I43" s="20">
        <f t="shared" si="12"/>
        <v>0</v>
      </c>
      <c r="J43" s="42"/>
      <c r="T43" s="64"/>
      <c r="AJ43" s="15">
        <f>+AJ41+AK41</f>
        <v>0</v>
      </c>
      <c r="AO43" s="53"/>
      <c r="AP43" s="85"/>
      <c r="AQ43" s="19"/>
      <c r="AR43" s="19"/>
      <c r="AS43" s="76"/>
      <c r="AT43" s="21"/>
      <c r="AU43" s="21"/>
      <c r="AV43" s="20">
        <f t="shared" si="13"/>
        <v>0</v>
      </c>
      <c r="AW43" s="20">
        <f t="shared" si="6"/>
        <v>0</v>
      </c>
    </row>
    <row r="44" spans="1:50">
      <c r="A44" s="53"/>
      <c r="B44" s="82"/>
      <c r="C44" s="19"/>
      <c r="D44" s="16"/>
      <c r="E44" s="40"/>
      <c r="F44" s="20"/>
      <c r="G44" s="20"/>
      <c r="H44" s="20">
        <f t="shared" si="14"/>
        <v>0</v>
      </c>
      <c r="I44" s="20">
        <f t="shared" si="12"/>
        <v>0</v>
      </c>
      <c r="J44" s="42"/>
      <c r="T44" s="64"/>
      <c r="AO44" s="53"/>
      <c r="AP44" s="85"/>
      <c r="AQ44" s="19"/>
      <c r="AR44" s="19"/>
      <c r="AS44" s="76"/>
      <c r="AT44" s="21"/>
      <c r="AU44" s="21"/>
      <c r="AV44" s="20">
        <f t="shared" si="13"/>
        <v>0</v>
      </c>
      <c r="AW44" s="20">
        <f t="shared" si="6"/>
        <v>0</v>
      </c>
    </row>
    <row r="45" spans="1:50">
      <c r="A45" s="53"/>
      <c r="B45" s="82"/>
      <c r="C45" s="19"/>
      <c r="D45" s="16"/>
      <c r="E45" s="40"/>
      <c r="F45" s="20"/>
      <c r="G45" s="20"/>
      <c r="H45" s="20">
        <f t="shared" si="14"/>
        <v>0</v>
      </c>
      <c r="I45" s="20">
        <f t="shared" si="12"/>
        <v>0</v>
      </c>
      <c r="J45" s="42"/>
      <c r="T45" s="64"/>
      <c r="AO45" s="53"/>
      <c r="AP45" s="85"/>
      <c r="AQ45" s="19"/>
      <c r="AR45" s="19"/>
      <c r="AS45" s="76"/>
      <c r="AT45" s="21"/>
      <c r="AV45" s="20">
        <f t="shared" si="13"/>
        <v>0</v>
      </c>
      <c r="AW45" s="20">
        <f t="shared" si="6"/>
        <v>0</v>
      </c>
    </row>
    <row r="46" spans="1:50">
      <c r="A46" s="53"/>
      <c r="B46" s="82"/>
      <c r="C46" s="19"/>
      <c r="D46" s="16"/>
      <c r="E46" s="40"/>
      <c r="F46" s="20"/>
      <c r="G46" s="20"/>
      <c r="H46" s="20">
        <f t="shared" si="14"/>
        <v>0</v>
      </c>
      <c r="I46" s="20">
        <f t="shared" si="12"/>
        <v>0</v>
      </c>
      <c r="J46" s="42"/>
      <c r="T46" s="64"/>
      <c r="AO46" s="53"/>
      <c r="AP46" s="85"/>
      <c r="AQ46" s="19"/>
      <c r="AR46" s="19"/>
      <c r="AS46" s="76"/>
      <c r="AT46" s="21"/>
      <c r="AU46" s="21"/>
      <c r="AV46" s="20">
        <f t="shared" ref="AV46" si="16">+AU46*0.12</f>
        <v>0</v>
      </c>
      <c r="AW46" s="20">
        <f t="shared" si="6"/>
        <v>0</v>
      </c>
    </row>
    <row r="47" spans="1:50">
      <c r="A47" s="53"/>
      <c r="B47" s="82"/>
      <c r="C47" s="19"/>
      <c r="D47" s="16"/>
      <c r="E47" s="40"/>
      <c r="F47" s="20"/>
      <c r="G47" s="20"/>
      <c r="H47" s="20">
        <f t="shared" si="14"/>
        <v>0</v>
      </c>
      <c r="I47" s="20">
        <f t="shared" si="12"/>
        <v>0</v>
      </c>
      <c r="J47" s="42"/>
      <c r="T47" s="64"/>
      <c r="AO47" s="53"/>
      <c r="AP47" s="85"/>
      <c r="AQ47" s="19"/>
      <c r="AR47" s="19"/>
      <c r="AS47" s="76"/>
      <c r="AT47" s="21"/>
      <c r="AU47" s="21"/>
      <c r="AV47" s="20">
        <f t="shared" ref="AV47:AV67" si="17">+AU47*0.12</f>
        <v>0</v>
      </c>
      <c r="AW47" s="20">
        <f t="shared" si="6"/>
        <v>0</v>
      </c>
    </row>
    <row r="48" spans="1:50">
      <c r="A48" s="53"/>
      <c r="B48" s="82"/>
      <c r="C48" s="19"/>
      <c r="D48" s="16"/>
      <c r="E48" s="40"/>
      <c r="F48" s="20"/>
      <c r="G48" s="20"/>
      <c r="H48" s="20">
        <f t="shared" si="14"/>
        <v>0</v>
      </c>
      <c r="I48" s="20">
        <f t="shared" si="12"/>
        <v>0</v>
      </c>
      <c r="J48" s="42"/>
      <c r="T48" s="64"/>
      <c r="AO48" s="53"/>
      <c r="AP48" s="85"/>
      <c r="AQ48" s="19"/>
      <c r="AR48" s="19"/>
      <c r="AS48" s="76"/>
      <c r="AT48" s="21"/>
      <c r="AU48" s="21"/>
      <c r="AV48" s="20">
        <f t="shared" si="17"/>
        <v>0</v>
      </c>
      <c r="AW48" s="20">
        <f t="shared" si="6"/>
        <v>0</v>
      </c>
    </row>
    <row r="49" spans="1:49">
      <c r="A49" s="53"/>
      <c r="B49" s="82"/>
      <c r="C49" s="19"/>
      <c r="D49" s="19"/>
      <c r="E49" s="40"/>
      <c r="F49" s="21"/>
      <c r="G49" s="16"/>
      <c r="H49" s="20">
        <f t="shared" si="14"/>
        <v>0</v>
      </c>
      <c r="I49" s="20">
        <f t="shared" si="12"/>
        <v>0</v>
      </c>
      <c r="J49" s="42"/>
      <c r="T49" s="64"/>
      <c r="AO49" s="53"/>
      <c r="AP49" s="85"/>
      <c r="AQ49" s="19"/>
      <c r="AR49" s="19"/>
      <c r="AS49" s="76"/>
      <c r="AT49" s="21"/>
      <c r="AU49" s="21"/>
      <c r="AV49" s="20">
        <f t="shared" si="17"/>
        <v>0</v>
      </c>
      <c r="AW49" s="20">
        <f t="shared" si="6"/>
        <v>0</v>
      </c>
    </row>
    <row r="50" spans="1:49">
      <c r="A50" s="53"/>
      <c r="B50" s="82"/>
      <c r="C50" s="19"/>
      <c r="D50" s="19"/>
      <c r="E50" s="40"/>
      <c r="F50" s="20"/>
      <c r="G50" s="20"/>
      <c r="H50" s="20">
        <f t="shared" si="14"/>
        <v>0</v>
      </c>
      <c r="I50" s="20">
        <f t="shared" si="12"/>
        <v>0</v>
      </c>
      <c r="J50" s="42"/>
      <c r="T50" s="64"/>
      <c r="AO50" s="53"/>
      <c r="AP50" s="85"/>
      <c r="AQ50" s="19"/>
      <c r="AR50" s="19"/>
      <c r="AS50" s="76"/>
      <c r="AT50" s="21"/>
      <c r="AU50" s="21"/>
      <c r="AV50" s="20">
        <f t="shared" si="17"/>
        <v>0</v>
      </c>
      <c r="AW50" s="20">
        <f t="shared" si="6"/>
        <v>0</v>
      </c>
    </row>
    <row r="51" spans="1:49">
      <c r="A51" s="53"/>
      <c r="B51" s="85"/>
      <c r="C51" s="19"/>
      <c r="D51" s="19"/>
      <c r="E51" s="40"/>
      <c r="F51" s="20"/>
      <c r="G51" s="20"/>
      <c r="H51" s="20">
        <f t="shared" si="14"/>
        <v>0</v>
      </c>
      <c r="I51" s="20">
        <f t="shared" si="12"/>
        <v>0</v>
      </c>
      <c r="J51" s="42"/>
      <c r="T51" s="64"/>
      <c r="AO51" s="53"/>
      <c r="AP51" s="85"/>
      <c r="AQ51" s="19"/>
      <c r="AR51" s="19"/>
      <c r="AS51" s="76"/>
      <c r="AT51" s="21"/>
      <c r="AU51" s="21"/>
      <c r="AV51" s="20">
        <f t="shared" si="17"/>
        <v>0</v>
      </c>
      <c r="AW51" s="20">
        <f t="shared" si="6"/>
        <v>0</v>
      </c>
    </row>
    <row r="52" spans="1:49">
      <c r="A52" s="53"/>
      <c r="B52" s="85"/>
      <c r="C52" s="19"/>
      <c r="D52" s="19"/>
      <c r="E52" s="40"/>
      <c r="F52" s="20"/>
      <c r="G52" s="20"/>
      <c r="H52" s="20">
        <f t="shared" ref="H52:H61" si="18">+G52*0.14</f>
        <v>0</v>
      </c>
      <c r="I52" s="20">
        <f t="shared" si="12"/>
        <v>0</v>
      </c>
      <c r="J52" s="42"/>
      <c r="T52" s="64"/>
      <c r="AO52" s="53"/>
      <c r="AP52" s="85"/>
      <c r="AQ52" s="19"/>
      <c r="AR52" s="19"/>
      <c r="AS52" s="76"/>
      <c r="AT52" s="21"/>
      <c r="AU52" s="21"/>
      <c r="AV52" s="20">
        <f t="shared" si="17"/>
        <v>0</v>
      </c>
      <c r="AW52" s="20">
        <f t="shared" si="6"/>
        <v>0</v>
      </c>
    </row>
    <row r="53" spans="1:49">
      <c r="A53" s="53"/>
      <c r="B53" s="85"/>
      <c r="C53" s="19"/>
      <c r="D53" s="19"/>
      <c r="E53" s="40"/>
      <c r="F53" s="20"/>
      <c r="G53" s="20"/>
      <c r="H53" s="20">
        <f t="shared" si="18"/>
        <v>0</v>
      </c>
      <c r="I53" s="20">
        <f t="shared" si="12"/>
        <v>0</v>
      </c>
      <c r="J53" s="42"/>
      <c r="T53" s="64"/>
      <c r="AO53" s="53"/>
      <c r="AP53" s="85"/>
      <c r="AQ53" s="19"/>
      <c r="AR53" s="19"/>
      <c r="AS53" s="76"/>
      <c r="AT53" s="21"/>
      <c r="AU53" s="21"/>
      <c r="AV53" s="20">
        <f t="shared" si="17"/>
        <v>0</v>
      </c>
      <c r="AW53" s="20">
        <f t="shared" si="6"/>
        <v>0</v>
      </c>
    </row>
    <row r="54" spans="1:49">
      <c r="A54" s="53"/>
      <c r="B54" s="82"/>
      <c r="C54" s="19"/>
      <c r="D54" s="16"/>
      <c r="E54" s="40"/>
      <c r="F54" s="20"/>
      <c r="G54" s="20"/>
      <c r="H54" s="20">
        <f t="shared" si="18"/>
        <v>0</v>
      </c>
      <c r="I54" s="20">
        <f t="shared" si="12"/>
        <v>0</v>
      </c>
      <c r="J54" s="42"/>
      <c r="T54" s="64"/>
      <c r="AO54" s="53"/>
      <c r="AP54" s="85"/>
      <c r="AQ54" s="19"/>
      <c r="AR54" s="19"/>
      <c r="AS54" s="76"/>
      <c r="AT54" s="21"/>
      <c r="AU54" s="21"/>
      <c r="AV54" s="20">
        <f t="shared" si="17"/>
        <v>0</v>
      </c>
      <c r="AW54" s="20">
        <f t="shared" si="6"/>
        <v>0</v>
      </c>
    </row>
    <row r="55" spans="1:49">
      <c r="A55" s="53"/>
      <c r="B55" s="82"/>
      <c r="C55" s="19"/>
      <c r="D55" s="16"/>
      <c r="E55" s="40"/>
      <c r="F55" s="20"/>
      <c r="G55" s="20"/>
      <c r="H55" s="20">
        <f t="shared" si="18"/>
        <v>0</v>
      </c>
      <c r="I55" s="20">
        <f t="shared" si="12"/>
        <v>0</v>
      </c>
      <c r="J55" s="42"/>
      <c r="T55" s="64"/>
      <c r="AO55" s="53"/>
      <c r="AP55" s="85"/>
      <c r="AQ55" s="19"/>
      <c r="AR55" s="19"/>
      <c r="AS55" s="76"/>
      <c r="AT55" s="21"/>
      <c r="AU55" s="21"/>
      <c r="AV55" s="20">
        <f t="shared" si="17"/>
        <v>0</v>
      </c>
      <c r="AW55" s="20">
        <f t="shared" si="6"/>
        <v>0</v>
      </c>
    </row>
    <row r="56" spans="1:49">
      <c r="A56" s="53"/>
      <c r="B56" s="82"/>
      <c r="C56" s="19"/>
      <c r="D56" s="16"/>
      <c r="E56" s="40"/>
      <c r="F56" s="20"/>
      <c r="G56" s="20"/>
      <c r="H56" s="20">
        <f t="shared" si="18"/>
        <v>0</v>
      </c>
      <c r="I56" s="20">
        <f t="shared" si="12"/>
        <v>0</v>
      </c>
      <c r="J56" s="42"/>
      <c r="T56" s="64"/>
      <c r="AO56" s="53"/>
      <c r="AP56" s="85"/>
      <c r="AQ56" s="19"/>
      <c r="AR56" s="19"/>
      <c r="AS56" s="76"/>
      <c r="AT56" s="21"/>
      <c r="AU56" s="21"/>
      <c r="AV56" s="20">
        <f t="shared" si="17"/>
        <v>0</v>
      </c>
      <c r="AW56" s="20">
        <f t="shared" si="6"/>
        <v>0</v>
      </c>
    </row>
    <row r="57" spans="1:49">
      <c r="A57" s="53"/>
      <c r="B57" s="82"/>
      <c r="C57" s="19"/>
      <c r="D57" s="16"/>
      <c r="E57" s="40"/>
      <c r="F57" s="20"/>
      <c r="G57" s="20"/>
      <c r="H57" s="20">
        <f t="shared" si="18"/>
        <v>0</v>
      </c>
      <c r="I57" s="20">
        <f t="shared" si="12"/>
        <v>0</v>
      </c>
      <c r="J57" s="42"/>
      <c r="T57" s="64"/>
      <c r="AO57" s="53"/>
      <c r="AP57" s="85"/>
      <c r="AQ57" s="19"/>
      <c r="AR57" s="19"/>
      <c r="AS57" s="76"/>
      <c r="AT57" s="21"/>
      <c r="AU57" s="21"/>
      <c r="AV57" s="20">
        <f t="shared" si="17"/>
        <v>0</v>
      </c>
      <c r="AW57" s="20">
        <f t="shared" si="6"/>
        <v>0</v>
      </c>
    </row>
    <row r="58" spans="1:49">
      <c r="A58" s="53"/>
      <c r="B58" s="82"/>
      <c r="C58" s="19"/>
      <c r="D58" s="16"/>
      <c r="E58" s="40"/>
      <c r="F58" s="20"/>
      <c r="G58" s="20"/>
      <c r="H58" s="20">
        <f t="shared" si="18"/>
        <v>0</v>
      </c>
      <c r="I58" s="20">
        <f t="shared" si="12"/>
        <v>0</v>
      </c>
      <c r="J58" s="42"/>
      <c r="T58" s="64"/>
      <c r="AO58" s="53"/>
      <c r="AP58" s="85"/>
      <c r="AQ58" s="19"/>
      <c r="AR58" s="19"/>
      <c r="AS58" s="76"/>
      <c r="AT58" s="21"/>
      <c r="AU58" s="21"/>
      <c r="AV58" s="20">
        <f t="shared" si="17"/>
        <v>0</v>
      </c>
      <c r="AW58" s="20">
        <f t="shared" si="6"/>
        <v>0</v>
      </c>
    </row>
    <row r="59" spans="1:49">
      <c r="A59" s="53"/>
      <c r="B59" s="82"/>
      <c r="C59" s="19"/>
      <c r="D59" s="16"/>
      <c r="E59" s="40"/>
      <c r="F59" s="20"/>
      <c r="G59" s="20"/>
      <c r="H59" s="20">
        <f t="shared" si="18"/>
        <v>0</v>
      </c>
      <c r="I59" s="20">
        <f t="shared" si="12"/>
        <v>0</v>
      </c>
      <c r="J59" s="42"/>
      <c r="T59" s="64"/>
      <c r="AO59" s="53"/>
      <c r="AP59" s="85"/>
      <c r="AQ59" s="19"/>
      <c r="AR59" s="19"/>
      <c r="AS59" s="76"/>
      <c r="AT59" s="21"/>
      <c r="AU59" s="21"/>
      <c r="AV59" s="20">
        <f t="shared" si="17"/>
        <v>0</v>
      </c>
      <c r="AW59" s="20">
        <f t="shared" si="6"/>
        <v>0</v>
      </c>
    </row>
    <row r="60" spans="1:49">
      <c r="A60" s="53"/>
      <c r="B60" s="82"/>
      <c r="C60" s="19"/>
      <c r="D60" s="16"/>
      <c r="E60" s="31"/>
      <c r="F60" s="20"/>
      <c r="G60" s="20"/>
      <c r="H60" s="20">
        <f t="shared" si="18"/>
        <v>0</v>
      </c>
      <c r="I60" s="20">
        <f t="shared" si="12"/>
        <v>0</v>
      </c>
      <c r="J60" s="42"/>
      <c r="T60" s="64"/>
      <c r="AO60" s="53"/>
      <c r="AP60" s="85"/>
      <c r="AQ60" s="19"/>
      <c r="AR60" s="19"/>
      <c r="AS60" s="76"/>
      <c r="AT60" s="21"/>
      <c r="AU60" s="21"/>
      <c r="AV60" s="20">
        <f t="shared" si="17"/>
        <v>0</v>
      </c>
      <c r="AW60" s="20">
        <f t="shared" si="6"/>
        <v>0</v>
      </c>
    </row>
    <row r="61" spans="1:49">
      <c r="A61" s="53"/>
      <c r="B61" s="82"/>
      <c r="C61" s="19"/>
      <c r="D61" s="16"/>
      <c r="E61" s="40"/>
      <c r="F61" s="20"/>
      <c r="G61" s="20"/>
      <c r="H61" s="20">
        <f t="shared" si="18"/>
        <v>0</v>
      </c>
      <c r="I61" s="20">
        <f t="shared" si="12"/>
        <v>0</v>
      </c>
      <c r="J61" s="42"/>
      <c r="T61" s="64"/>
      <c r="AO61" s="53"/>
      <c r="AP61" s="85"/>
      <c r="AQ61" s="19"/>
      <c r="AR61" s="19"/>
      <c r="AS61" s="76"/>
      <c r="AT61" s="21"/>
      <c r="AU61" s="21"/>
      <c r="AV61" s="20">
        <f t="shared" si="17"/>
        <v>0</v>
      </c>
      <c r="AW61" s="20">
        <f t="shared" si="6"/>
        <v>0</v>
      </c>
    </row>
    <row r="62" spans="1:49">
      <c r="F62" s="113">
        <f>SUM(F5:F61)</f>
        <v>0</v>
      </c>
      <c r="G62" s="113">
        <f>SUM(G5:G61)</f>
        <v>0</v>
      </c>
      <c r="H62" s="113">
        <f>SUM(H5:H61)</f>
        <v>0</v>
      </c>
      <c r="I62" s="113">
        <f>SUM(I5:I61)</f>
        <v>0</v>
      </c>
      <c r="J62" s="42"/>
      <c r="T62" s="88"/>
      <c r="AO62" s="53"/>
      <c r="AP62" s="85"/>
      <c r="AQ62" s="19"/>
      <c r="AR62" s="19"/>
      <c r="AS62" s="76"/>
      <c r="AT62" s="21"/>
      <c r="AU62" s="21"/>
      <c r="AV62" s="20">
        <f t="shared" si="17"/>
        <v>0</v>
      </c>
      <c r="AW62" s="20">
        <f t="shared" si="6"/>
        <v>0</v>
      </c>
    </row>
    <row r="63" spans="1:49">
      <c r="F63" s="15"/>
      <c r="G63" s="15"/>
      <c r="H63" s="15"/>
      <c r="I63" s="15"/>
      <c r="J63" s="42"/>
      <c r="AO63" s="53"/>
      <c r="AP63" s="85"/>
      <c r="AQ63" s="19"/>
      <c r="AR63" s="19"/>
      <c r="AS63" s="76"/>
      <c r="AT63" s="21"/>
      <c r="AU63" s="21"/>
      <c r="AV63" s="20">
        <f t="shared" si="17"/>
        <v>0</v>
      </c>
      <c r="AW63" s="20">
        <f t="shared" si="6"/>
        <v>0</v>
      </c>
    </row>
    <row r="64" spans="1:49">
      <c r="F64" s="114">
        <f>+F62+G62</f>
        <v>0</v>
      </c>
      <c r="G64" s="15"/>
      <c r="H64" s="15"/>
      <c r="I64" s="15"/>
      <c r="J64" s="42"/>
      <c r="AO64" s="53"/>
      <c r="AP64" s="85"/>
      <c r="AQ64" s="19"/>
      <c r="AR64" s="19"/>
      <c r="AS64" s="76"/>
      <c r="AT64" s="21"/>
      <c r="AU64" s="21"/>
      <c r="AV64" s="20">
        <f t="shared" si="17"/>
        <v>0</v>
      </c>
      <c r="AW64" s="20">
        <f t="shared" si="6"/>
        <v>0</v>
      </c>
    </row>
    <row r="65" spans="2:49">
      <c r="E65" t="s">
        <v>224</v>
      </c>
      <c r="F65" s="15">
        <v>3630.25</v>
      </c>
      <c r="G65" s="15"/>
      <c r="H65" s="15"/>
      <c r="I65" s="15"/>
      <c r="J65" s="42"/>
      <c r="AO65" s="53"/>
      <c r="AP65" s="85"/>
      <c r="AQ65" s="19"/>
      <c r="AR65" s="19"/>
      <c r="AS65" s="76"/>
      <c r="AT65" s="21"/>
      <c r="AU65" s="21"/>
      <c r="AV65" s="20">
        <f t="shared" si="17"/>
        <v>0</v>
      </c>
      <c r="AW65" s="20">
        <f t="shared" si="6"/>
        <v>0</v>
      </c>
    </row>
    <row r="66" spans="2:49">
      <c r="B66" s="61"/>
      <c r="C66" s="62"/>
      <c r="D66" s="62"/>
      <c r="E66" s="63"/>
      <c r="F66" s="188">
        <f>+F65-F64</f>
        <v>3630.25</v>
      </c>
      <c r="G66" s="64"/>
      <c r="H66" s="64"/>
      <c r="I66" s="64"/>
      <c r="J66" s="42"/>
      <c r="AO66" s="53"/>
      <c r="AP66" s="85"/>
      <c r="AQ66" s="19"/>
      <c r="AR66" s="19"/>
      <c r="AS66" s="76"/>
      <c r="AT66" s="21"/>
      <c r="AU66" s="21"/>
      <c r="AV66" s="20">
        <f t="shared" si="17"/>
        <v>0</v>
      </c>
      <c r="AW66" s="20">
        <f t="shared" si="6"/>
        <v>0</v>
      </c>
    </row>
    <row r="67" spans="2:49">
      <c r="B67" s="61"/>
      <c r="C67" s="62"/>
      <c r="D67" s="62"/>
      <c r="E67" s="63"/>
      <c r="F67" s="64"/>
      <c r="G67" s="64"/>
      <c r="H67" s="64"/>
      <c r="I67" s="64"/>
      <c r="J67" s="42"/>
      <c r="AO67" s="53"/>
      <c r="AP67" s="85"/>
      <c r="AQ67" s="19"/>
      <c r="AR67" s="19"/>
      <c r="AS67" s="76"/>
      <c r="AT67" s="21"/>
      <c r="AU67" s="21"/>
      <c r="AV67" s="20">
        <f t="shared" si="17"/>
        <v>0</v>
      </c>
      <c r="AW67" s="20">
        <f t="shared" si="6"/>
        <v>0</v>
      </c>
    </row>
    <row r="68" spans="2:49">
      <c r="J68" s="42"/>
      <c r="AO68" s="53"/>
      <c r="AP68" s="85"/>
      <c r="AQ68" s="19"/>
      <c r="AR68" s="19"/>
      <c r="AS68" s="76"/>
      <c r="AT68" s="21"/>
      <c r="AU68" s="21"/>
      <c r="AV68" s="20">
        <f t="shared" ref="AV68" si="19">+AU68*0.12</f>
        <v>0</v>
      </c>
      <c r="AW68" s="20">
        <f t="shared" si="6"/>
        <v>0</v>
      </c>
    </row>
    <row r="69" spans="2:49">
      <c r="J69" s="42"/>
      <c r="AO69" s="53"/>
      <c r="AP69" s="85"/>
      <c r="AQ69" s="19"/>
      <c r="AR69" s="19"/>
      <c r="AS69" s="76"/>
      <c r="AT69" s="21"/>
      <c r="AU69" s="21"/>
      <c r="AV69" s="20">
        <f t="shared" ref="AV69:AV73" si="20">+AU69*0.12</f>
        <v>0</v>
      </c>
      <c r="AW69" s="20">
        <f t="shared" si="6"/>
        <v>0</v>
      </c>
    </row>
    <row r="70" spans="2:49">
      <c r="J70" s="42"/>
      <c r="AO70" s="53"/>
      <c r="AP70" s="85"/>
      <c r="AQ70" s="19"/>
      <c r="AR70" s="19"/>
      <c r="AS70" s="76"/>
      <c r="AT70" s="77"/>
      <c r="AU70" s="21"/>
      <c r="AV70" s="20">
        <f t="shared" si="20"/>
        <v>0</v>
      </c>
      <c r="AW70" s="20">
        <f t="shared" ref="AW70:AW98" si="21">+AT70+AU70+AV70</f>
        <v>0</v>
      </c>
    </row>
    <row r="71" spans="2:49">
      <c r="J71" s="42"/>
      <c r="AO71" s="53"/>
      <c r="AP71" s="85"/>
      <c r="AQ71" s="19"/>
      <c r="AR71" s="19"/>
      <c r="AS71" s="76"/>
      <c r="AT71" s="77"/>
      <c r="AU71" s="21"/>
      <c r="AV71" s="20">
        <f t="shared" si="20"/>
        <v>0</v>
      </c>
      <c r="AW71" s="20">
        <f t="shared" si="21"/>
        <v>0</v>
      </c>
    </row>
    <row r="72" spans="2:49">
      <c r="J72" s="42"/>
      <c r="AO72" s="53"/>
      <c r="AP72" s="85"/>
      <c r="AQ72" s="19"/>
      <c r="AR72" s="19"/>
      <c r="AS72" s="76"/>
      <c r="AT72" s="77"/>
      <c r="AU72" s="21"/>
      <c r="AV72" s="20">
        <f t="shared" si="20"/>
        <v>0</v>
      </c>
      <c r="AW72" s="20">
        <f t="shared" si="21"/>
        <v>0</v>
      </c>
    </row>
    <row r="73" spans="2:49">
      <c r="J73" s="42"/>
      <c r="AO73" s="53"/>
      <c r="AP73" s="85"/>
      <c r="AQ73" s="19"/>
      <c r="AR73" s="19"/>
      <c r="AS73" s="76"/>
      <c r="AT73" s="77"/>
      <c r="AU73" s="21"/>
      <c r="AV73" s="20">
        <f t="shared" si="20"/>
        <v>0</v>
      </c>
      <c r="AW73" s="20">
        <f t="shared" si="21"/>
        <v>0</v>
      </c>
    </row>
    <row r="74" spans="2:49">
      <c r="J74" s="88"/>
      <c r="AO74" s="53"/>
      <c r="AP74" s="85"/>
      <c r="AQ74" s="19"/>
      <c r="AR74" s="19"/>
      <c r="AS74" s="76"/>
      <c r="AT74" s="77"/>
      <c r="AU74" s="21"/>
      <c r="AV74" s="20">
        <f t="shared" ref="AV74:AV79" si="22">+AU74*0.12</f>
        <v>0</v>
      </c>
      <c r="AW74" s="20">
        <f t="shared" si="21"/>
        <v>0</v>
      </c>
    </row>
    <row r="75" spans="2:49">
      <c r="AO75" s="53"/>
      <c r="AP75" s="85"/>
      <c r="AQ75" s="19"/>
      <c r="AR75" s="19"/>
      <c r="AS75" s="76"/>
      <c r="AT75" s="77"/>
      <c r="AU75" s="21"/>
      <c r="AV75" s="20">
        <f t="shared" si="22"/>
        <v>0</v>
      </c>
      <c r="AW75" s="20">
        <f t="shared" si="21"/>
        <v>0</v>
      </c>
    </row>
    <row r="76" spans="2:49">
      <c r="AO76" s="53"/>
      <c r="AP76" s="85"/>
      <c r="AQ76" s="19"/>
      <c r="AR76" s="19"/>
      <c r="AS76" s="76"/>
      <c r="AT76" s="77"/>
      <c r="AU76" s="21"/>
      <c r="AV76" s="20">
        <f t="shared" si="22"/>
        <v>0</v>
      </c>
      <c r="AW76" s="20">
        <f t="shared" si="21"/>
        <v>0</v>
      </c>
    </row>
    <row r="77" spans="2:49">
      <c r="AO77" s="53"/>
      <c r="AP77" s="85"/>
      <c r="AQ77" s="19"/>
      <c r="AR77" s="19"/>
      <c r="AS77" s="76"/>
      <c r="AT77" s="77"/>
      <c r="AU77" s="21"/>
      <c r="AV77" s="20">
        <f t="shared" si="22"/>
        <v>0</v>
      </c>
      <c r="AW77" s="20">
        <f t="shared" si="21"/>
        <v>0</v>
      </c>
    </row>
    <row r="78" spans="2:49">
      <c r="J78" s="64"/>
      <c r="AO78" s="53"/>
      <c r="AP78" s="85"/>
      <c r="AQ78" s="19"/>
      <c r="AR78" s="19"/>
      <c r="AS78" s="76"/>
      <c r="AT78" s="77"/>
      <c r="AU78" s="21"/>
      <c r="AV78" s="20">
        <f t="shared" si="22"/>
        <v>0</v>
      </c>
      <c r="AW78" s="20">
        <f t="shared" si="21"/>
        <v>0</v>
      </c>
    </row>
    <row r="79" spans="2:49">
      <c r="J79" s="64"/>
      <c r="AO79" s="53"/>
      <c r="AP79" s="85"/>
      <c r="AQ79" s="19"/>
      <c r="AR79" s="19"/>
      <c r="AS79" s="76"/>
      <c r="AT79" s="77"/>
      <c r="AU79" s="21"/>
      <c r="AV79" s="20">
        <f t="shared" si="22"/>
        <v>0</v>
      </c>
      <c r="AW79" s="20">
        <f t="shared" si="21"/>
        <v>0</v>
      </c>
    </row>
    <row r="80" spans="2:49">
      <c r="AO80" s="53"/>
      <c r="AP80" s="85"/>
      <c r="AQ80" s="19"/>
      <c r="AR80" s="19"/>
      <c r="AS80" s="76"/>
      <c r="AT80" s="77"/>
      <c r="AU80" s="21"/>
      <c r="AV80" s="20">
        <f>+AU80*0.14</f>
        <v>0</v>
      </c>
      <c r="AW80" s="20">
        <f t="shared" si="21"/>
        <v>0</v>
      </c>
    </row>
    <row r="81" spans="41:49">
      <c r="AO81" s="53"/>
      <c r="AP81" s="85"/>
      <c r="AQ81" s="19"/>
      <c r="AR81" s="19"/>
      <c r="AS81" s="76"/>
      <c r="AT81" s="77"/>
      <c r="AU81" s="21"/>
      <c r="AV81" s="20">
        <f t="shared" ref="AV81:AV98" si="23">+AU81*0.14</f>
        <v>0</v>
      </c>
      <c r="AW81" s="20">
        <f t="shared" si="21"/>
        <v>0</v>
      </c>
    </row>
    <row r="82" spans="41:49">
      <c r="AO82" s="53"/>
      <c r="AP82" s="85"/>
      <c r="AQ82" s="19"/>
      <c r="AR82" s="19"/>
      <c r="AS82" s="76"/>
      <c r="AT82" s="77"/>
      <c r="AU82" s="21"/>
      <c r="AV82" s="20">
        <f t="shared" si="23"/>
        <v>0</v>
      </c>
      <c r="AW82" s="20">
        <f t="shared" si="21"/>
        <v>0</v>
      </c>
    </row>
    <row r="83" spans="41:49">
      <c r="AO83" s="53"/>
      <c r="AP83" s="85"/>
      <c r="AQ83" s="19"/>
      <c r="AR83" s="19"/>
      <c r="AS83" s="76"/>
      <c r="AT83" s="77"/>
      <c r="AU83" s="21"/>
      <c r="AV83" s="20">
        <f t="shared" si="23"/>
        <v>0</v>
      </c>
      <c r="AW83" s="20">
        <f t="shared" si="21"/>
        <v>0</v>
      </c>
    </row>
    <row r="84" spans="41:49">
      <c r="AO84" s="53"/>
      <c r="AP84" s="85"/>
      <c r="AQ84" s="19"/>
      <c r="AR84" s="19"/>
      <c r="AS84" s="76"/>
      <c r="AT84" s="21"/>
      <c r="AU84" s="21"/>
      <c r="AV84" s="20">
        <f t="shared" si="23"/>
        <v>0</v>
      </c>
      <c r="AW84" s="20">
        <f t="shared" si="21"/>
        <v>0</v>
      </c>
    </row>
    <row r="85" spans="41:49">
      <c r="AO85" s="53"/>
      <c r="AP85" s="85"/>
      <c r="AQ85" s="19"/>
      <c r="AR85" s="19"/>
      <c r="AS85" s="76"/>
      <c r="AT85" s="21"/>
      <c r="AU85" s="21"/>
      <c r="AV85" s="20">
        <f t="shared" si="23"/>
        <v>0</v>
      </c>
      <c r="AW85" s="20">
        <f t="shared" si="21"/>
        <v>0</v>
      </c>
    </row>
    <row r="86" spans="41:49">
      <c r="AO86" s="53"/>
      <c r="AP86" s="85"/>
      <c r="AQ86" s="19"/>
      <c r="AR86" s="19"/>
      <c r="AS86" s="76"/>
      <c r="AT86" s="21"/>
      <c r="AU86" s="21"/>
      <c r="AV86" s="20">
        <f t="shared" si="23"/>
        <v>0</v>
      </c>
      <c r="AW86" s="20">
        <f t="shared" si="21"/>
        <v>0</v>
      </c>
    </row>
    <row r="87" spans="41:49">
      <c r="AO87" s="53"/>
      <c r="AP87" s="85"/>
      <c r="AQ87" s="19"/>
      <c r="AR87" s="19"/>
      <c r="AS87" s="76"/>
      <c r="AT87" s="21"/>
      <c r="AU87" s="21"/>
      <c r="AV87" s="20">
        <f t="shared" si="23"/>
        <v>0</v>
      </c>
      <c r="AW87" s="20">
        <f t="shared" si="21"/>
        <v>0</v>
      </c>
    </row>
    <row r="88" spans="41:49">
      <c r="AO88" s="53"/>
      <c r="AP88" s="85"/>
      <c r="AQ88" s="19"/>
      <c r="AR88" s="19"/>
      <c r="AS88" s="76"/>
      <c r="AT88" s="21"/>
      <c r="AU88" s="21"/>
      <c r="AV88" s="20">
        <f t="shared" si="23"/>
        <v>0</v>
      </c>
      <c r="AW88" s="20">
        <f t="shared" si="21"/>
        <v>0</v>
      </c>
    </row>
    <row r="89" spans="41:49">
      <c r="AO89" s="53"/>
      <c r="AP89" s="85"/>
      <c r="AQ89" s="19"/>
      <c r="AR89" s="19"/>
      <c r="AS89" s="76"/>
      <c r="AT89" s="21"/>
      <c r="AU89" s="21"/>
      <c r="AV89" s="20">
        <f t="shared" si="23"/>
        <v>0</v>
      </c>
      <c r="AW89" s="20">
        <f t="shared" si="21"/>
        <v>0</v>
      </c>
    </row>
    <row r="90" spans="41:49">
      <c r="AO90" s="53"/>
      <c r="AP90" s="85"/>
      <c r="AQ90" s="19"/>
      <c r="AR90" s="19"/>
      <c r="AS90" s="76"/>
      <c r="AT90" s="21"/>
      <c r="AU90" s="21"/>
      <c r="AV90" s="20">
        <f t="shared" si="23"/>
        <v>0</v>
      </c>
      <c r="AW90" s="20">
        <f t="shared" si="21"/>
        <v>0</v>
      </c>
    </row>
    <row r="91" spans="41:49">
      <c r="AO91" s="53"/>
      <c r="AP91" s="85"/>
      <c r="AQ91" s="19"/>
      <c r="AR91" s="19"/>
      <c r="AS91" s="76"/>
      <c r="AT91" s="21"/>
      <c r="AU91" s="21"/>
      <c r="AV91" s="20">
        <f t="shared" si="23"/>
        <v>0</v>
      </c>
      <c r="AW91" s="20">
        <f t="shared" si="21"/>
        <v>0</v>
      </c>
    </row>
    <row r="92" spans="41:49">
      <c r="AO92" s="53"/>
      <c r="AP92" s="85"/>
      <c r="AQ92" s="19"/>
      <c r="AR92" s="19"/>
      <c r="AS92" s="76"/>
      <c r="AT92" s="77"/>
      <c r="AU92" s="21"/>
      <c r="AV92" s="20">
        <f t="shared" si="23"/>
        <v>0</v>
      </c>
      <c r="AW92" s="20">
        <f t="shared" si="21"/>
        <v>0</v>
      </c>
    </row>
    <row r="93" spans="41:49">
      <c r="AO93" s="53"/>
      <c r="AP93" s="85"/>
      <c r="AQ93" s="19"/>
      <c r="AR93" s="19"/>
      <c r="AS93" s="76"/>
      <c r="AT93" s="77"/>
      <c r="AU93" s="21"/>
      <c r="AV93" s="20">
        <f t="shared" si="23"/>
        <v>0</v>
      </c>
      <c r="AW93" s="20">
        <f t="shared" si="21"/>
        <v>0</v>
      </c>
    </row>
    <row r="94" spans="41:49">
      <c r="AO94" s="53"/>
      <c r="AP94" s="85"/>
      <c r="AQ94" s="19"/>
      <c r="AR94" s="19"/>
      <c r="AS94" s="76"/>
      <c r="AT94" s="21"/>
      <c r="AU94" s="21"/>
      <c r="AV94" s="20">
        <f t="shared" si="23"/>
        <v>0</v>
      </c>
      <c r="AW94" s="20">
        <f t="shared" si="21"/>
        <v>0</v>
      </c>
    </row>
    <row r="95" spans="41:49">
      <c r="AO95" s="53"/>
      <c r="AP95" s="85"/>
      <c r="AQ95" s="19"/>
      <c r="AR95" s="19"/>
      <c r="AS95" s="76"/>
      <c r="AT95" s="21"/>
      <c r="AU95" s="21"/>
      <c r="AV95" s="20">
        <f t="shared" si="23"/>
        <v>0</v>
      </c>
      <c r="AW95" s="20">
        <f t="shared" si="21"/>
        <v>0</v>
      </c>
    </row>
    <row r="96" spans="41:49">
      <c r="AO96" s="53"/>
      <c r="AP96" s="85"/>
      <c r="AQ96" s="19"/>
      <c r="AR96" s="19"/>
      <c r="AS96" s="76"/>
      <c r="AT96" s="21"/>
      <c r="AU96" s="21"/>
      <c r="AV96" s="20">
        <f t="shared" si="23"/>
        <v>0</v>
      </c>
      <c r="AW96" s="20">
        <f t="shared" si="21"/>
        <v>0</v>
      </c>
    </row>
    <row r="97" spans="41:49">
      <c r="AO97" s="53"/>
      <c r="AP97" s="85"/>
      <c r="AQ97" s="19"/>
      <c r="AR97" s="19"/>
      <c r="AS97" s="76"/>
      <c r="AT97" s="77"/>
      <c r="AU97" s="21"/>
      <c r="AV97" s="20">
        <f t="shared" si="23"/>
        <v>0</v>
      </c>
      <c r="AW97" s="20">
        <f t="shared" si="21"/>
        <v>0</v>
      </c>
    </row>
    <row r="98" spans="41:49">
      <c r="AO98" s="53"/>
      <c r="AP98" s="85"/>
      <c r="AQ98" s="19"/>
      <c r="AR98" s="19"/>
      <c r="AS98" s="76"/>
      <c r="AT98" s="77"/>
      <c r="AU98" s="21"/>
      <c r="AV98" s="20">
        <f t="shared" si="23"/>
        <v>0</v>
      </c>
      <c r="AW98" s="20">
        <f t="shared" si="21"/>
        <v>0</v>
      </c>
    </row>
    <row r="99" spans="41:49">
      <c r="AO99" s="53"/>
      <c r="AP99" s="85"/>
      <c r="AQ99" s="19"/>
      <c r="AR99" s="19"/>
      <c r="AS99" s="76"/>
      <c r="AT99" s="77"/>
      <c r="AU99" s="21"/>
      <c r="AV99" s="20">
        <f t="shared" ref="AV99:AV120" si="24">+AU99*0.14</f>
        <v>0</v>
      </c>
      <c r="AW99" s="20">
        <f t="shared" ref="AW99:AW120" si="25">+AT99+AU99+AV99</f>
        <v>0</v>
      </c>
    </row>
    <row r="100" spans="41:49">
      <c r="AO100" s="53"/>
      <c r="AP100" s="85"/>
      <c r="AQ100" s="19"/>
      <c r="AR100" s="19"/>
      <c r="AS100" s="76"/>
      <c r="AT100" s="77"/>
      <c r="AU100" s="21"/>
      <c r="AV100" s="20">
        <f t="shared" si="24"/>
        <v>0</v>
      </c>
      <c r="AW100" s="20">
        <f t="shared" si="25"/>
        <v>0</v>
      </c>
    </row>
    <row r="101" spans="41:49">
      <c r="AO101" s="53"/>
      <c r="AP101" s="85"/>
      <c r="AQ101" s="19"/>
      <c r="AR101" s="19"/>
      <c r="AS101" s="76"/>
      <c r="AT101" s="77"/>
      <c r="AU101" s="21"/>
      <c r="AV101" s="20">
        <f t="shared" si="24"/>
        <v>0</v>
      </c>
      <c r="AW101" s="20">
        <f t="shared" si="25"/>
        <v>0</v>
      </c>
    </row>
    <row r="102" spans="41:49">
      <c r="AO102" s="53"/>
      <c r="AP102" s="85"/>
      <c r="AQ102" s="19"/>
      <c r="AR102" s="19"/>
      <c r="AS102" s="76"/>
      <c r="AT102" s="77"/>
      <c r="AU102" s="21"/>
      <c r="AV102" s="20">
        <f t="shared" si="24"/>
        <v>0</v>
      </c>
      <c r="AW102" s="20">
        <f t="shared" si="25"/>
        <v>0</v>
      </c>
    </row>
    <row r="103" spans="41:49">
      <c r="AO103" s="53"/>
      <c r="AP103" s="85"/>
      <c r="AQ103" s="19"/>
      <c r="AR103" s="19"/>
      <c r="AS103" s="76"/>
      <c r="AT103" s="77"/>
      <c r="AU103" s="21"/>
      <c r="AV103" s="20">
        <f t="shared" si="24"/>
        <v>0</v>
      </c>
      <c r="AW103" s="20">
        <f t="shared" si="25"/>
        <v>0</v>
      </c>
    </row>
    <row r="104" spans="41:49">
      <c r="AO104" s="53"/>
      <c r="AP104" s="85"/>
      <c r="AQ104" s="19"/>
      <c r="AR104" s="19"/>
      <c r="AS104" s="76"/>
      <c r="AT104" s="77"/>
      <c r="AU104" s="21"/>
      <c r="AV104" s="20">
        <f t="shared" si="24"/>
        <v>0</v>
      </c>
      <c r="AW104" s="20">
        <f t="shared" si="25"/>
        <v>0</v>
      </c>
    </row>
    <row r="105" spans="41:49">
      <c r="AO105" s="53"/>
      <c r="AP105" s="85"/>
      <c r="AQ105" s="19"/>
      <c r="AR105" s="19"/>
      <c r="AS105" s="76"/>
      <c r="AT105" s="77"/>
      <c r="AU105" s="21"/>
      <c r="AV105" s="20">
        <f t="shared" si="24"/>
        <v>0</v>
      </c>
      <c r="AW105" s="20">
        <f t="shared" si="25"/>
        <v>0</v>
      </c>
    </row>
    <row r="106" spans="41:49">
      <c r="AO106" s="53"/>
      <c r="AP106" s="85"/>
      <c r="AQ106" s="19"/>
      <c r="AT106" s="77"/>
      <c r="AU106" s="21"/>
      <c r="AV106" s="20">
        <f t="shared" si="24"/>
        <v>0</v>
      </c>
      <c r="AW106" s="20">
        <f t="shared" si="25"/>
        <v>0</v>
      </c>
    </row>
    <row r="107" spans="41:49">
      <c r="AO107" s="53"/>
      <c r="AP107" s="85"/>
      <c r="AQ107" s="19"/>
      <c r="AR107" s="19"/>
      <c r="AS107" s="76"/>
      <c r="AT107" s="77"/>
      <c r="AU107" s="21"/>
      <c r="AV107" s="20">
        <f t="shared" si="24"/>
        <v>0</v>
      </c>
      <c r="AW107" s="20">
        <f t="shared" si="25"/>
        <v>0</v>
      </c>
    </row>
    <row r="108" spans="41:49">
      <c r="AO108" s="53"/>
      <c r="AP108" s="85"/>
      <c r="AQ108" s="19"/>
      <c r="AR108" s="19"/>
      <c r="AS108" s="76"/>
      <c r="AT108" s="77"/>
      <c r="AU108" s="21"/>
      <c r="AV108" s="20">
        <f t="shared" si="24"/>
        <v>0</v>
      </c>
      <c r="AW108" s="20">
        <f t="shared" si="25"/>
        <v>0</v>
      </c>
    </row>
    <row r="109" spans="41:49">
      <c r="AO109" s="53"/>
      <c r="AP109" s="85"/>
      <c r="AQ109" s="19"/>
      <c r="AR109" s="19"/>
      <c r="AS109" s="76"/>
      <c r="AT109" s="77"/>
      <c r="AU109" s="21"/>
      <c r="AV109" s="20">
        <f t="shared" si="24"/>
        <v>0</v>
      </c>
      <c r="AW109" s="20">
        <f t="shared" si="25"/>
        <v>0</v>
      </c>
    </row>
    <row r="110" spans="41:49">
      <c r="AO110" s="53"/>
      <c r="AP110" s="85"/>
      <c r="AQ110" s="19"/>
      <c r="AR110" s="19"/>
      <c r="AS110" s="76"/>
      <c r="AT110" s="77"/>
      <c r="AU110" s="21"/>
      <c r="AV110" s="20">
        <f t="shared" si="24"/>
        <v>0</v>
      </c>
      <c r="AW110" s="20">
        <f t="shared" si="25"/>
        <v>0</v>
      </c>
    </row>
    <row r="111" spans="41:49">
      <c r="AO111" s="53"/>
      <c r="AP111" s="85"/>
      <c r="AQ111" s="19"/>
      <c r="AR111" s="19"/>
      <c r="AS111" s="76"/>
      <c r="AT111" s="77"/>
      <c r="AU111" s="21"/>
      <c r="AV111" s="20">
        <f t="shared" si="24"/>
        <v>0</v>
      </c>
      <c r="AW111" s="20">
        <f t="shared" si="25"/>
        <v>0</v>
      </c>
    </row>
    <row r="112" spans="41:49">
      <c r="AO112" s="53"/>
      <c r="AP112" s="85"/>
      <c r="AQ112" s="19"/>
      <c r="AR112" s="19"/>
      <c r="AS112" s="76"/>
      <c r="AT112" s="77"/>
      <c r="AU112" s="21"/>
      <c r="AV112" s="20">
        <f t="shared" si="24"/>
        <v>0</v>
      </c>
      <c r="AW112" s="20">
        <f t="shared" si="25"/>
        <v>0</v>
      </c>
    </row>
    <row r="113" spans="41:49">
      <c r="AO113" s="53"/>
      <c r="AP113" s="82"/>
      <c r="AQ113" s="19"/>
      <c r="AR113" s="16"/>
      <c r="AS113" s="40"/>
      <c r="AT113" s="20"/>
      <c r="AU113" s="20"/>
      <c r="AV113" s="20">
        <f t="shared" si="24"/>
        <v>0</v>
      </c>
      <c r="AW113" s="20">
        <f t="shared" si="25"/>
        <v>0</v>
      </c>
    </row>
    <row r="114" spans="41:49">
      <c r="AO114" s="53"/>
      <c r="AP114" s="82"/>
      <c r="AQ114" s="19"/>
      <c r="AR114" s="16"/>
      <c r="AS114" s="40"/>
      <c r="AT114" s="20"/>
      <c r="AU114" s="20"/>
      <c r="AV114" s="20">
        <f t="shared" si="24"/>
        <v>0</v>
      </c>
      <c r="AW114" s="20">
        <f t="shared" si="25"/>
        <v>0</v>
      </c>
    </row>
    <row r="115" spans="41:49">
      <c r="AO115" s="53"/>
      <c r="AP115" s="82"/>
      <c r="AQ115" s="19"/>
      <c r="AR115" s="19"/>
      <c r="AS115" s="76"/>
      <c r="AT115" s="20"/>
      <c r="AU115" s="20"/>
      <c r="AV115" s="20">
        <f t="shared" si="24"/>
        <v>0</v>
      </c>
      <c r="AW115" s="20">
        <f t="shared" si="25"/>
        <v>0</v>
      </c>
    </row>
    <row r="116" spans="41:49">
      <c r="AO116" s="53"/>
      <c r="AP116" s="82"/>
      <c r="AQ116" s="19"/>
      <c r="AR116" s="19"/>
      <c r="AS116" s="76"/>
      <c r="AT116" s="20"/>
      <c r="AU116" s="20"/>
      <c r="AV116" s="20">
        <f t="shared" si="24"/>
        <v>0</v>
      </c>
      <c r="AW116" s="20">
        <f t="shared" si="25"/>
        <v>0</v>
      </c>
    </row>
    <row r="117" spans="41:49">
      <c r="AO117" s="53"/>
      <c r="AP117" s="82"/>
      <c r="AQ117" s="19"/>
      <c r="AR117" s="19"/>
      <c r="AS117" s="76"/>
      <c r="AT117" s="20"/>
      <c r="AU117" s="20"/>
      <c r="AV117" s="20">
        <f t="shared" si="24"/>
        <v>0</v>
      </c>
      <c r="AW117" s="20">
        <f t="shared" si="25"/>
        <v>0</v>
      </c>
    </row>
    <row r="118" spans="41:49">
      <c r="AO118" s="53"/>
      <c r="AP118" s="82"/>
      <c r="AQ118" s="19"/>
      <c r="AR118" s="16"/>
      <c r="AS118" s="40"/>
      <c r="AT118" s="20"/>
      <c r="AU118" s="20"/>
      <c r="AV118" s="20">
        <f t="shared" si="24"/>
        <v>0</v>
      </c>
      <c r="AW118" s="20">
        <f t="shared" si="25"/>
        <v>0</v>
      </c>
    </row>
    <row r="119" spans="41:49">
      <c r="AO119" s="53"/>
      <c r="AP119" s="82"/>
      <c r="AQ119" s="19"/>
      <c r="AR119" s="19"/>
      <c r="AS119" s="76"/>
      <c r="AT119" s="20"/>
      <c r="AU119" s="20"/>
      <c r="AV119" s="20">
        <f t="shared" si="24"/>
        <v>0</v>
      </c>
      <c r="AW119" s="20">
        <f t="shared" si="25"/>
        <v>0</v>
      </c>
    </row>
    <row r="120" spans="41:49">
      <c r="AO120" s="53"/>
      <c r="AP120" s="82"/>
      <c r="AQ120" s="19"/>
      <c r="AR120" s="19"/>
      <c r="AS120" s="76"/>
      <c r="AT120" s="20"/>
      <c r="AU120" s="20"/>
      <c r="AV120" s="20">
        <f t="shared" si="24"/>
        <v>0</v>
      </c>
      <c r="AW120" s="20">
        <f t="shared" si="25"/>
        <v>0</v>
      </c>
    </row>
    <row r="121" spans="41:49">
      <c r="AO121" s="53"/>
      <c r="AP121" s="82"/>
      <c r="AQ121" s="19"/>
      <c r="AR121" s="19"/>
      <c r="AS121" s="76"/>
      <c r="AT121" s="20"/>
      <c r="AU121" s="20"/>
      <c r="AV121" s="20">
        <f t="shared" ref="AV121:AV142" si="26">+AU121*0.14</f>
        <v>0</v>
      </c>
      <c r="AW121" s="20">
        <f t="shared" ref="AW121:AW142" si="27">+AT121+AU121+AV121</f>
        <v>0</v>
      </c>
    </row>
    <row r="122" spans="41:49">
      <c r="AO122" s="53"/>
      <c r="AP122" s="85"/>
      <c r="AQ122" s="19"/>
      <c r="AR122" s="19"/>
      <c r="AS122" s="76"/>
      <c r="AT122" s="77"/>
      <c r="AU122" s="21"/>
      <c r="AV122" s="20">
        <f t="shared" si="26"/>
        <v>0</v>
      </c>
      <c r="AW122" s="20">
        <f t="shared" si="27"/>
        <v>0</v>
      </c>
    </row>
    <row r="123" spans="41:49">
      <c r="AO123" s="53"/>
      <c r="AP123" s="82"/>
      <c r="AQ123" s="19"/>
      <c r="AR123" s="19"/>
      <c r="AS123" s="76"/>
      <c r="AT123" s="20"/>
      <c r="AU123" s="20"/>
      <c r="AV123" s="20">
        <f t="shared" si="26"/>
        <v>0</v>
      </c>
      <c r="AW123" s="20">
        <f t="shared" si="27"/>
        <v>0</v>
      </c>
    </row>
    <row r="124" spans="41:49">
      <c r="AO124" s="53"/>
      <c r="AP124" s="82"/>
      <c r="AQ124" s="19"/>
      <c r="AR124" s="19"/>
      <c r="AS124" s="76"/>
      <c r="AT124" s="20"/>
      <c r="AU124" s="20"/>
      <c r="AV124" s="20">
        <f t="shared" si="26"/>
        <v>0</v>
      </c>
      <c r="AW124" s="20">
        <f t="shared" si="27"/>
        <v>0</v>
      </c>
    </row>
    <row r="125" spans="41:49">
      <c r="AO125" s="53"/>
      <c r="AP125" s="82"/>
      <c r="AQ125" s="19"/>
      <c r="AR125" s="19"/>
      <c r="AS125" s="76"/>
      <c r="AT125" s="20"/>
      <c r="AU125" s="20"/>
      <c r="AV125" s="20">
        <f t="shared" si="26"/>
        <v>0</v>
      </c>
      <c r="AW125" s="20">
        <f t="shared" si="27"/>
        <v>0</v>
      </c>
    </row>
    <row r="126" spans="41:49">
      <c r="AO126" s="53"/>
      <c r="AP126" s="82"/>
      <c r="AQ126" s="19"/>
      <c r="AR126" s="19"/>
      <c r="AS126" s="76"/>
      <c r="AT126" s="20"/>
      <c r="AU126" s="20"/>
      <c r="AV126" s="20">
        <f t="shared" si="26"/>
        <v>0</v>
      </c>
      <c r="AW126" s="20">
        <f t="shared" si="27"/>
        <v>0</v>
      </c>
    </row>
    <row r="127" spans="41:49">
      <c r="AO127" s="53"/>
      <c r="AP127" s="82"/>
      <c r="AQ127" s="19"/>
      <c r="AR127" s="19"/>
      <c r="AS127" s="76"/>
      <c r="AT127" s="20"/>
      <c r="AU127" s="20"/>
      <c r="AV127" s="20">
        <f t="shared" si="26"/>
        <v>0</v>
      </c>
      <c r="AW127" s="20">
        <f t="shared" si="27"/>
        <v>0</v>
      </c>
    </row>
    <row r="128" spans="41:49">
      <c r="AO128" s="53"/>
      <c r="AP128" s="82"/>
      <c r="AQ128" s="19"/>
      <c r="AR128" s="19"/>
      <c r="AS128" s="76"/>
      <c r="AT128" s="20"/>
      <c r="AU128" s="20"/>
      <c r="AV128" s="20">
        <f t="shared" si="26"/>
        <v>0</v>
      </c>
      <c r="AW128" s="20">
        <f t="shared" si="27"/>
        <v>0</v>
      </c>
    </row>
    <row r="129" spans="41:49">
      <c r="AO129" s="53"/>
      <c r="AP129" s="82"/>
      <c r="AQ129" s="19"/>
      <c r="AR129" s="19"/>
      <c r="AS129" s="76"/>
      <c r="AT129" s="20"/>
      <c r="AU129" s="20"/>
      <c r="AV129" s="20">
        <f t="shared" si="26"/>
        <v>0</v>
      </c>
      <c r="AW129" s="20">
        <f t="shared" si="27"/>
        <v>0</v>
      </c>
    </row>
    <row r="130" spans="41:49">
      <c r="AO130" s="53"/>
      <c r="AP130" s="82"/>
      <c r="AQ130" s="19"/>
      <c r="AR130" s="19"/>
      <c r="AS130" s="76"/>
      <c r="AT130" s="20"/>
      <c r="AU130" s="20"/>
      <c r="AV130" s="20">
        <f t="shared" si="26"/>
        <v>0</v>
      </c>
      <c r="AW130" s="20">
        <f t="shared" si="27"/>
        <v>0</v>
      </c>
    </row>
    <row r="131" spans="41:49">
      <c r="AO131" s="53"/>
      <c r="AP131" s="82"/>
      <c r="AQ131" s="19"/>
      <c r="AR131" s="19"/>
      <c r="AS131" s="76"/>
      <c r="AT131" s="20"/>
      <c r="AU131" s="20"/>
      <c r="AV131" s="20">
        <f t="shared" si="26"/>
        <v>0</v>
      </c>
      <c r="AW131" s="20">
        <f t="shared" si="27"/>
        <v>0</v>
      </c>
    </row>
    <row r="132" spans="41:49">
      <c r="AO132" s="53"/>
      <c r="AP132" s="82"/>
      <c r="AQ132" s="19"/>
      <c r="AR132" s="19"/>
      <c r="AS132" s="76"/>
      <c r="AT132" s="20"/>
      <c r="AU132" s="20"/>
      <c r="AV132" s="20">
        <f t="shared" si="26"/>
        <v>0</v>
      </c>
      <c r="AW132" s="20">
        <f t="shared" si="27"/>
        <v>0</v>
      </c>
    </row>
    <row r="133" spans="41:49">
      <c r="AO133" s="53"/>
      <c r="AP133" s="82"/>
      <c r="AQ133" s="19"/>
      <c r="AR133" s="19"/>
      <c r="AS133" s="76"/>
      <c r="AT133" s="20"/>
      <c r="AU133" s="20"/>
      <c r="AV133" s="20">
        <f t="shared" si="26"/>
        <v>0</v>
      </c>
      <c r="AW133" s="20">
        <f t="shared" si="27"/>
        <v>0</v>
      </c>
    </row>
    <row r="134" spans="41:49">
      <c r="AO134" s="53"/>
      <c r="AP134" s="82"/>
      <c r="AQ134" s="19"/>
      <c r="AR134" s="19"/>
      <c r="AS134" s="76"/>
      <c r="AT134" s="20"/>
      <c r="AU134" s="20"/>
      <c r="AV134" s="20">
        <f t="shared" si="26"/>
        <v>0</v>
      </c>
      <c r="AW134" s="20">
        <f t="shared" si="27"/>
        <v>0</v>
      </c>
    </row>
    <row r="135" spans="41:49">
      <c r="AO135" s="53"/>
      <c r="AP135" s="82"/>
      <c r="AQ135" s="19"/>
      <c r="AR135" s="19"/>
      <c r="AS135" s="76"/>
      <c r="AT135" s="20"/>
      <c r="AU135" s="20"/>
      <c r="AV135" s="20">
        <f t="shared" si="26"/>
        <v>0</v>
      </c>
      <c r="AW135" s="20">
        <f t="shared" si="27"/>
        <v>0</v>
      </c>
    </row>
    <row r="136" spans="41:49">
      <c r="AO136" s="53"/>
      <c r="AP136" s="82"/>
      <c r="AQ136" s="19"/>
      <c r="AR136" s="19"/>
      <c r="AS136" s="76"/>
      <c r="AT136" s="20"/>
      <c r="AU136" s="20"/>
      <c r="AV136" s="20">
        <f t="shared" si="26"/>
        <v>0</v>
      </c>
      <c r="AW136" s="20">
        <f t="shared" si="27"/>
        <v>0</v>
      </c>
    </row>
    <row r="137" spans="41:49">
      <c r="AO137" s="53"/>
      <c r="AP137" s="82"/>
      <c r="AQ137" s="19"/>
      <c r="AR137" s="19"/>
      <c r="AS137" s="76"/>
      <c r="AT137" s="20"/>
      <c r="AU137" s="20"/>
      <c r="AV137" s="20">
        <f t="shared" si="26"/>
        <v>0</v>
      </c>
      <c r="AW137" s="20">
        <f t="shared" si="27"/>
        <v>0</v>
      </c>
    </row>
    <row r="138" spans="41:49">
      <c r="AO138" s="53"/>
      <c r="AP138" s="82"/>
      <c r="AQ138" s="19"/>
      <c r="AR138" s="19"/>
      <c r="AS138" s="76"/>
      <c r="AT138" s="20"/>
      <c r="AU138" s="20"/>
      <c r="AV138" s="20">
        <f t="shared" si="26"/>
        <v>0</v>
      </c>
      <c r="AW138" s="20">
        <f t="shared" si="27"/>
        <v>0</v>
      </c>
    </row>
    <row r="139" spans="41:49">
      <c r="AO139" s="53"/>
      <c r="AP139" s="82"/>
      <c r="AQ139" s="19"/>
      <c r="AR139" s="19"/>
      <c r="AS139" s="76"/>
      <c r="AT139" s="20"/>
      <c r="AU139" s="20"/>
      <c r="AV139" s="20">
        <f t="shared" si="26"/>
        <v>0</v>
      </c>
      <c r="AW139" s="20">
        <f t="shared" si="27"/>
        <v>0</v>
      </c>
    </row>
    <row r="140" spans="41:49">
      <c r="AO140" s="53"/>
      <c r="AP140" s="82"/>
      <c r="AQ140" s="19"/>
      <c r="AR140" s="19"/>
      <c r="AS140" s="76"/>
      <c r="AT140" s="20"/>
      <c r="AU140" s="20"/>
      <c r="AV140" s="20">
        <f t="shared" si="26"/>
        <v>0</v>
      </c>
      <c r="AW140" s="20">
        <f t="shared" si="27"/>
        <v>0</v>
      </c>
    </row>
    <row r="141" spans="41:49">
      <c r="AO141" s="53"/>
      <c r="AP141" s="82"/>
      <c r="AQ141" s="19"/>
      <c r="AR141" s="19"/>
      <c r="AS141" s="76"/>
      <c r="AT141" s="20"/>
      <c r="AU141" s="20"/>
      <c r="AV141" s="20">
        <f t="shared" si="26"/>
        <v>0</v>
      </c>
      <c r="AW141" s="20">
        <f t="shared" si="27"/>
        <v>0</v>
      </c>
    </row>
    <row r="142" spans="41:49">
      <c r="AO142" s="53"/>
      <c r="AP142" s="85"/>
      <c r="AQ142" s="19"/>
      <c r="AR142" s="19"/>
      <c r="AS142" s="76"/>
      <c r="AT142" s="77"/>
      <c r="AU142" s="21"/>
      <c r="AV142" s="20">
        <f t="shared" si="26"/>
        <v>0</v>
      </c>
      <c r="AW142" s="20">
        <f t="shared" si="27"/>
        <v>0</v>
      </c>
    </row>
    <row r="143" spans="41:49" ht="15.75" thickBot="1">
      <c r="AT143" s="111">
        <f>SUM(AT5:AT142)</f>
        <v>0</v>
      </c>
      <c r="AU143" s="111">
        <f>SUM(AU5:AU142)</f>
        <v>0</v>
      </c>
      <c r="AV143" s="111">
        <f>SUM(AV5:AV142)</f>
        <v>0</v>
      </c>
      <c r="AW143" s="111">
        <f>SUM(AW5:AW142)</f>
        <v>0</v>
      </c>
    </row>
    <row r="144" spans="41:49" ht="15.75" thickTop="1">
      <c r="AT144" s="15"/>
      <c r="AU144" s="15"/>
      <c r="AV144" s="15"/>
      <c r="AW144" s="15"/>
    </row>
    <row r="145" spans="45:46">
      <c r="AT145" s="112">
        <f>+AT143+AU143</f>
        <v>0</v>
      </c>
    </row>
    <row r="147" spans="45:46">
      <c r="AS147" t="s">
        <v>224</v>
      </c>
      <c r="AT147" s="15">
        <v>3630.25</v>
      </c>
    </row>
    <row r="148" spans="45:46">
      <c r="AT148" s="15"/>
    </row>
    <row r="149" spans="45:46">
      <c r="AT149" s="15">
        <f>+AT145-AT147</f>
        <v>-3630.25</v>
      </c>
    </row>
  </sheetData>
  <autoFilter ref="A4:AX62"/>
  <sortState ref="B5:G61">
    <sortCondition ref="E5:E61"/>
  </sortState>
  <mergeCells count="5">
    <mergeCell ref="B3:I3"/>
    <mergeCell ref="L3:S3"/>
    <mergeCell ref="V3:AC3"/>
    <mergeCell ref="AF3:AM3"/>
    <mergeCell ref="AP3:AW3"/>
  </mergeCells>
  <pageMargins left="0.70866141732283472" right="0.70866141732283472" top="0.74803149606299213" bottom="0.74803149606299213" header="0.31496062992125984" footer="0.31496062992125984"/>
  <pageSetup scale="12" orientation="portrait" verticalDpi="14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BG94"/>
  <sheetViews>
    <sheetView workbookViewId="0">
      <pane ySplit="4" topLeftCell="A24" activePane="bottomLeft" state="frozen"/>
      <selection pane="bottomLeft" activeCell="BF38" sqref="BF38"/>
    </sheetView>
  </sheetViews>
  <sheetFormatPr baseColWidth="10" defaultRowHeight="15"/>
  <cols>
    <col min="1" max="1" width="11.42578125" style="52"/>
    <col min="2" max="2" width="11.5703125" bestFit="1" customWidth="1"/>
    <col min="3" max="3" width="14.28515625" customWidth="1"/>
    <col min="4" max="4" width="27.140625" customWidth="1"/>
    <col min="5" max="5" width="21.140625" customWidth="1"/>
    <col min="11" max="11" width="11.42578125" style="168"/>
    <col min="13" max="13" width="11.42578125" style="52"/>
    <col min="14" max="14" width="11.5703125" bestFit="1" customWidth="1"/>
    <col min="15" max="15" width="13.5703125" customWidth="1"/>
    <col min="16" max="16" width="33" customWidth="1"/>
    <col min="17" max="17" width="19.5703125" customWidth="1"/>
    <col min="18" max="19" width="12.140625" customWidth="1"/>
    <col min="20" max="20" width="11.5703125" customWidth="1"/>
    <col min="23" max="23" width="11.42578125" style="168"/>
    <col min="25" max="25" width="11.42578125" style="52"/>
    <col min="26" max="26" width="11.5703125" bestFit="1" customWidth="1"/>
    <col min="27" max="27" width="14" customWidth="1"/>
    <col min="28" max="28" width="33.7109375" customWidth="1"/>
    <col min="29" max="29" width="20.42578125" customWidth="1"/>
    <col min="35" max="35" width="11.42578125" style="168"/>
    <col min="37" max="37" width="11.42578125" style="52"/>
    <col min="38" max="38" width="11.42578125" customWidth="1"/>
    <col min="39" max="39" width="15.140625" bestFit="1" customWidth="1"/>
    <col min="40" max="40" width="16" customWidth="1"/>
    <col min="41" max="41" width="42.85546875" hidden="1" customWidth="1"/>
    <col min="43" max="44" width="0" hidden="1" customWidth="1"/>
    <col min="49" max="49" width="11.42578125" style="52" customWidth="1"/>
    <col min="50" max="50" width="11.5703125" bestFit="1" customWidth="1"/>
    <col min="51" max="51" width="14.42578125" customWidth="1"/>
    <col min="52" max="52" width="28.5703125" hidden="1" customWidth="1"/>
    <col min="53" max="53" width="20.140625" customWidth="1"/>
  </cols>
  <sheetData>
    <row r="1" spans="1:59" ht="18.75">
      <c r="B1" s="18" t="s">
        <v>33</v>
      </c>
      <c r="E1" s="66" t="s">
        <v>84</v>
      </c>
      <c r="F1" s="75"/>
    </row>
    <row r="2" spans="1:59" ht="15.75" thickBot="1">
      <c r="B2" s="18"/>
    </row>
    <row r="3" spans="1:59" ht="27.75" thickTop="1" thickBot="1">
      <c r="A3" s="92" t="s">
        <v>86</v>
      </c>
      <c r="B3" s="396" t="s">
        <v>28</v>
      </c>
      <c r="C3" s="397"/>
      <c r="D3" s="397"/>
      <c r="E3" s="397"/>
      <c r="F3" s="397"/>
      <c r="G3" s="397"/>
      <c r="H3" s="397"/>
      <c r="I3" s="398"/>
      <c r="J3" s="96"/>
      <c r="K3" s="169"/>
      <c r="L3" s="96"/>
      <c r="M3" s="92" t="s">
        <v>86</v>
      </c>
      <c r="N3" s="396" t="s">
        <v>40</v>
      </c>
      <c r="O3" s="397"/>
      <c r="P3" s="397"/>
      <c r="Q3" s="397"/>
      <c r="R3" s="397"/>
      <c r="S3" s="397"/>
      <c r="T3" s="397"/>
      <c r="U3" s="398"/>
      <c r="V3" s="96"/>
      <c r="W3" s="169"/>
      <c r="X3" s="96"/>
      <c r="Y3" s="92" t="s">
        <v>86</v>
      </c>
      <c r="Z3" s="396" t="s">
        <v>30</v>
      </c>
      <c r="AA3" s="397"/>
      <c r="AB3" s="397"/>
      <c r="AC3" s="397"/>
      <c r="AD3" s="397"/>
      <c r="AE3" s="397"/>
      <c r="AF3" s="397"/>
      <c r="AG3" s="398"/>
      <c r="AH3" s="96"/>
      <c r="AI3" s="169"/>
      <c r="AJ3" s="96"/>
      <c r="AK3" s="110" t="s">
        <v>86</v>
      </c>
      <c r="AL3" s="397" t="s">
        <v>31</v>
      </c>
      <c r="AM3" s="397"/>
      <c r="AN3" s="397"/>
      <c r="AO3" s="397"/>
      <c r="AP3" s="397"/>
      <c r="AQ3" s="397"/>
      <c r="AR3" s="397"/>
      <c r="AS3" s="398"/>
      <c r="AT3" s="90"/>
      <c r="AU3" s="90"/>
      <c r="AV3" s="90"/>
      <c r="AW3" s="92" t="s">
        <v>86</v>
      </c>
      <c r="AX3" s="397" t="s">
        <v>32</v>
      </c>
      <c r="AY3" s="397"/>
      <c r="AZ3" s="397"/>
      <c r="BA3" s="397"/>
      <c r="BB3" s="397"/>
      <c r="BC3" s="397"/>
      <c r="BD3" s="397"/>
      <c r="BE3" s="398"/>
    </row>
    <row r="4" spans="1:59" ht="19.5" customHeight="1" thickTop="1">
      <c r="A4" s="91" t="s">
        <v>85</v>
      </c>
      <c r="B4" s="34" t="s">
        <v>34</v>
      </c>
      <c r="C4" s="34" t="s">
        <v>48</v>
      </c>
      <c r="D4" s="34" t="s">
        <v>35</v>
      </c>
      <c r="E4" s="34" t="s">
        <v>47</v>
      </c>
      <c r="F4" s="34" t="s">
        <v>36</v>
      </c>
      <c r="G4" s="34" t="s">
        <v>37</v>
      </c>
      <c r="H4" s="34" t="s">
        <v>4</v>
      </c>
      <c r="I4" s="34" t="s">
        <v>9</v>
      </c>
      <c r="J4" s="97"/>
      <c r="K4" s="170"/>
      <c r="L4" s="97"/>
      <c r="M4" s="91" t="s">
        <v>85</v>
      </c>
      <c r="N4" s="34" t="s">
        <v>34</v>
      </c>
      <c r="O4" s="34" t="s">
        <v>48</v>
      </c>
      <c r="P4" s="34" t="s">
        <v>35</v>
      </c>
      <c r="Q4" s="34" t="s">
        <v>47</v>
      </c>
      <c r="R4" s="34" t="s">
        <v>36</v>
      </c>
      <c r="S4" s="34" t="s">
        <v>37</v>
      </c>
      <c r="T4" s="34" t="s">
        <v>4</v>
      </c>
      <c r="U4" s="34" t="s">
        <v>9</v>
      </c>
      <c r="V4" s="97"/>
      <c r="W4" s="170"/>
      <c r="X4" s="97"/>
      <c r="Y4" s="91" t="s">
        <v>85</v>
      </c>
      <c r="Z4" s="34" t="s">
        <v>34</v>
      </c>
      <c r="AA4" s="34" t="s">
        <v>48</v>
      </c>
      <c r="AB4" s="34" t="s">
        <v>35</v>
      </c>
      <c r="AC4" s="34" t="s">
        <v>47</v>
      </c>
      <c r="AD4" s="34" t="s">
        <v>36</v>
      </c>
      <c r="AE4" s="34" t="s">
        <v>37</v>
      </c>
      <c r="AF4" s="34" t="s">
        <v>4</v>
      </c>
      <c r="AG4" s="34" t="s">
        <v>9</v>
      </c>
      <c r="AH4" s="97"/>
      <c r="AI4" s="170"/>
      <c r="AJ4" s="97"/>
      <c r="AK4" s="34" t="s">
        <v>85</v>
      </c>
      <c r="AL4" s="89" t="s">
        <v>34</v>
      </c>
      <c r="AM4" s="34" t="s">
        <v>48</v>
      </c>
      <c r="AN4" s="34" t="s">
        <v>47</v>
      </c>
      <c r="AO4" s="34" t="s">
        <v>35</v>
      </c>
      <c r="AP4" s="34" t="s">
        <v>36</v>
      </c>
      <c r="AQ4" s="34" t="s">
        <v>37</v>
      </c>
      <c r="AR4" s="34" t="s">
        <v>4</v>
      </c>
      <c r="AS4" s="34" t="s">
        <v>9</v>
      </c>
      <c r="AT4" s="86"/>
      <c r="AU4" s="86"/>
      <c r="AV4" s="86"/>
      <c r="AW4" s="91" t="s">
        <v>85</v>
      </c>
      <c r="AX4" s="89" t="s">
        <v>34</v>
      </c>
      <c r="AY4" s="34" t="s">
        <v>48</v>
      </c>
      <c r="AZ4" s="34" t="s">
        <v>35</v>
      </c>
      <c r="BA4" s="34" t="s">
        <v>47</v>
      </c>
      <c r="BB4" s="34" t="s">
        <v>36</v>
      </c>
      <c r="BC4" s="34" t="s">
        <v>37</v>
      </c>
      <c r="BD4" s="34" t="s">
        <v>4</v>
      </c>
      <c r="BE4" s="34" t="s">
        <v>9</v>
      </c>
    </row>
    <row r="5" spans="1:59">
      <c r="A5" s="53" t="e">
        <f>+#REF!+1</f>
        <v>#REF!</v>
      </c>
      <c r="B5" s="82">
        <v>42316</v>
      </c>
      <c r="C5" s="19">
        <v>30492</v>
      </c>
      <c r="D5" s="16" t="s">
        <v>163</v>
      </c>
      <c r="E5" s="40">
        <v>990858322001</v>
      </c>
      <c r="F5" s="20">
        <v>2.8</v>
      </c>
      <c r="G5" s="20"/>
      <c r="H5" s="20">
        <f t="shared" ref="H5:H35" si="0">+G5*0.12</f>
        <v>0</v>
      </c>
      <c r="I5" s="20">
        <f t="shared" ref="I5:I33" si="1">+F5+G5+H5</f>
        <v>2.8</v>
      </c>
      <c r="J5" s="42">
        <v>2.8</v>
      </c>
      <c r="K5" s="171">
        <v>1</v>
      </c>
      <c r="L5" s="42"/>
      <c r="M5" s="53" t="e">
        <f t="shared" ref="M5:M23" si="2">+M4+1</f>
        <v>#VALUE!</v>
      </c>
      <c r="N5" s="82">
        <v>42359</v>
      </c>
      <c r="O5" s="19">
        <v>10145</v>
      </c>
      <c r="P5" s="16" t="s">
        <v>176</v>
      </c>
      <c r="Q5" s="31">
        <v>401540174001</v>
      </c>
      <c r="R5" s="20"/>
      <c r="S5" s="20">
        <v>21.16</v>
      </c>
      <c r="T5" s="21">
        <f t="shared" ref="T5:T36" si="3">+S5*0.12</f>
        <v>2.5392000000000001</v>
      </c>
      <c r="U5" s="21">
        <f t="shared" ref="U5:U36" si="4">+R5+S5+T5</f>
        <v>23.699200000000001</v>
      </c>
      <c r="V5" s="42">
        <v>21.16</v>
      </c>
      <c r="W5" s="171">
        <v>1</v>
      </c>
      <c r="X5" s="42"/>
      <c r="Y5" s="53">
        <v>18</v>
      </c>
      <c r="Z5" s="82">
        <v>42258</v>
      </c>
      <c r="AA5" s="19">
        <v>1422</v>
      </c>
      <c r="AB5" s="16" t="s">
        <v>88</v>
      </c>
      <c r="AC5" s="99">
        <v>190005135001</v>
      </c>
      <c r="AD5" s="20">
        <v>14</v>
      </c>
      <c r="AE5" s="20"/>
      <c r="AF5" s="20">
        <f t="shared" ref="AF5:AF36" si="5">+AE5*0.12</f>
        <v>0</v>
      </c>
      <c r="AG5" s="20">
        <f>+AD5+AE5+AF5</f>
        <v>14</v>
      </c>
      <c r="AH5" s="42">
        <v>14</v>
      </c>
      <c r="AI5" s="171">
        <v>1</v>
      </c>
      <c r="AJ5" s="42"/>
      <c r="AK5" s="53">
        <v>1</v>
      </c>
      <c r="AL5" s="108">
        <v>42045</v>
      </c>
      <c r="AM5" s="29">
        <v>784</v>
      </c>
      <c r="AN5" s="31">
        <v>1714816210001</v>
      </c>
      <c r="AO5" s="16" t="s">
        <v>119</v>
      </c>
      <c r="AP5" s="28"/>
      <c r="AQ5" s="28">
        <v>24.85</v>
      </c>
      <c r="AR5" s="27">
        <f t="shared" ref="AR5:AR38" si="6">+AQ5*0.12</f>
        <v>2.9820000000000002</v>
      </c>
      <c r="AS5" s="27">
        <f>AP5+AQ5+AR5</f>
        <v>27.832000000000001</v>
      </c>
      <c r="AT5" s="42">
        <v>24.85</v>
      </c>
      <c r="AU5" s="42">
        <v>1</v>
      </c>
      <c r="AV5" s="42"/>
      <c r="AW5" s="53">
        <v>1</v>
      </c>
      <c r="AX5" s="85">
        <v>42289</v>
      </c>
      <c r="AY5" s="19">
        <v>56538</v>
      </c>
      <c r="AZ5" s="19" t="s">
        <v>83</v>
      </c>
      <c r="BA5" s="76">
        <v>990004196001</v>
      </c>
      <c r="BB5" s="77">
        <v>2.06</v>
      </c>
      <c r="BC5" s="21"/>
      <c r="BD5" s="20">
        <f t="shared" ref="BD5:BD36" si="7">+BC5*0.12</f>
        <v>0</v>
      </c>
      <c r="BE5" s="20">
        <f t="shared" ref="BE5:BE36" si="8">+BB5+BC5+BD5</f>
        <v>2.06</v>
      </c>
      <c r="BF5">
        <v>2.06</v>
      </c>
      <c r="BG5">
        <v>1</v>
      </c>
    </row>
    <row r="6" spans="1:59">
      <c r="A6" s="53" t="e">
        <f t="shared" ref="A6:A17" si="9">+A5+1</f>
        <v>#REF!</v>
      </c>
      <c r="B6" s="82">
        <v>42245</v>
      </c>
      <c r="C6" s="19">
        <v>4965</v>
      </c>
      <c r="D6" s="16" t="s">
        <v>164</v>
      </c>
      <c r="E6" s="40">
        <v>1703326791001</v>
      </c>
      <c r="F6" s="20">
        <v>180</v>
      </c>
      <c r="G6" s="20"/>
      <c r="H6" s="20">
        <f t="shared" si="0"/>
        <v>0</v>
      </c>
      <c r="I6" s="20">
        <f t="shared" si="1"/>
        <v>180</v>
      </c>
      <c r="J6" s="42">
        <v>180</v>
      </c>
      <c r="K6" s="171">
        <v>1</v>
      </c>
      <c r="L6" s="42"/>
      <c r="M6" s="98" t="e">
        <f t="shared" si="2"/>
        <v>#VALUE!</v>
      </c>
      <c r="N6" s="82">
        <v>42260</v>
      </c>
      <c r="O6" s="19">
        <v>4314</v>
      </c>
      <c r="P6" s="16" t="s">
        <v>159</v>
      </c>
      <c r="Q6" s="31">
        <v>905854253001</v>
      </c>
      <c r="R6" s="20"/>
      <c r="S6" s="20">
        <v>8.93</v>
      </c>
      <c r="T6" s="21">
        <f t="shared" si="3"/>
        <v>1.0715999999999999</v>
      </c>
      <c r="U6" s="21">
        <f t="shared" si="4"/>
        <v>10.0016</v>
      </c>
      <c r="V6" s="64">
        <v>8.93</v>
      </c>
      <c r="W6" s="173">
        <v>1</v>
      </c>
      <c r="X6" s="64"/>
      <c r="Y6" s="53">
        <v>11</v>
      </c>
      <c r="Z6" s="82">
        <v>42159</v>
      </c>
      <c r="AA6" s="16">
        <v>869</v>
      </c>
      <c r="AB6" s="16" t="s">
        <v>188</v>
      </c>
      <c r="AC6" s="31">
        <v>1704879301001</v>
      </c>
      <c r="AD6" s="20">
        <v>60</v>
      </c>
      <c r="AE6" s="20"/>
      <c r="AF6" s="20">
        <f t="shared" si="5"/>
        <v>0</v>
      </c>
      <c r="AG6" s="20">
        <f>+AD6+AE6+AF6</f>
        <v>60</v>
      </c>
      <c r="AH6" s="42">
        <v>60</v>
      </c>
      <c r="AI6" s="171">
        <v>1</v>
      </c>
      <c r="AJ6" s="42"/>
      <c r="AK6" s="53">
        <f>+AK5+1</f>
        <v>2</v>
      </c>
      <c r="AL6" s="108">
        <v>42025</v>
      </c>
      <c r="AM6" s="29">
        <v>5284277</v>
      </c>
      <c r="AN6" s="31">
        <v>1768154260001</v>
      </c>
      <c r="AO6" s="16" t="s">
        <v>120</v>
      </c>
      <c r="AP6" s="20">
        <v>26.2</v>
      </c>
      <c r="AQ6" s="20"/>
      <c r="AR6" s="20">
        <f t="shared" si="6"/>
        <v>0</v>
      </c>
      <c r="AS6" s="27">
        <f>AP6+AQ6+AR6</f>
        <v>26.2</v>
      </c>
      <c r="AT6" s="42"/>
      <c r="AU6" s="42"/>
      <c r="AV6" s="42"/>
      <c r="AW6" s="53">
        <v>2</v>
      </c>
      <c r="AX6" s="85">
        <v>42158</v>
      </c>
      <c r="AY6" s="19">
        <v>85328</v>
      </c>
      <c r="AZ6" s="19" t="s">
        <v>149</v>
      </c>
      <c r="BA6" s="76">
        <v>992220929001</v>
      </c>
      <c r="BB6" s="21">
        <v>0.66</v>
      </c>
      <c r="BC6" s="21"/>
      <c r="BD6" s="20">
        <f t="shared" si="7"/>
        <v>0</v>
      </c>
      <c r="BE6" s="20">
        <f t="shared" si="8"/>
        <v>0.66</v>
      </c>
      <c r="BF6">
        <v>0.66</v>
      </c>
      <c r="BG6">
        <v>1</v>
      </c>
    </row>
    <row r="7" spans="1:59">
      <c r="A7" s="53" t="e">
        <f t="shared" si="9"/>
        <v>#REF!</v>
      </c>
      <c r="B7" s="82">
        <v>42119</v>
      </c>
      <c r="C7" s="19">
        <v>166</v>
      </c>
      <c r="D7" s="16" t="s">
        <v>156</v>
      </c>
      <c r="E7" s="40">
        <v>1711850717001</v>
      </c>
      <c r="F7" s="20">
        <v>140</v>
      </c>
      <c r="G7" s="20"/>
      <c r="H7" s="20">
        <f t="shared" si="0"/>
        <v>0</v>
      </c>
      <c r="I7" s="20">
        <f t="shared" si="1"/>
        <v>140</v>
      </c>
      <c r="J7" s="42"/>
      <c r="K7" s="171"/>
      <c r="L7" s="42"/>
      <c r="M7" s="53" t="e">
        <f t="shared" si="2"/>
        <v>#VALUE!</v>
      </c>
      <c r="N7" s="82">
        <v>42352</v>
      </c>
      <c r="O7" s="19">
        <v>14571</v>
      </c>
      <c r="P7" s="16" t="s">
        <v>183</v>
      </c>
      <c r="Q7" s="31">
        <v>992703342001</v>
      </c>
      <c r="R7" s="20"/>
      <c r="S7" s="20">
        <v>9.81</v>
      </c>
      <c r="T7" s="21">
        <f t="shared" si="3"/>
        <v>1.1772</v>
      </c>
      <c r="U7" s="21">
        <f t="shared" si="4"/>
        <v>10.987200000000001</v>
      </c>
      <c r="V7" s="42">
        <v>9.81</v>
      </c>
      <c r="W7" s="171">
        <v>1</v>
      </c>
      <c r="X7" s="42"/>
      <c r="Y7" s="53">
        <v>14</v>
      </c>
      <c r="Z7" s="82">
        <v>42184</v>
      </c>
      <c r="AA7" s="19">
        <v>22839</v>
      </c>
      <c r="AB7" s="16" t="s">
        <v>185</v>
      </c>
      <c r="AC7" s="31">
        <v>1705479770001</v>
      </c>
      <c r="AD7" s="20">
        <v>10</v>
      </c>
      <c r="AE7" s="20"/>
      <c r="AF7" s="20">
        <f t="shared" si="5"/>
        <v>0</v>
      </c>
      <c r="AG7" s="20">
        <f>+AD7+AE7+AF7</f>
        <v>10</v>
      </c>
      <c r="AH7" s="42">
        <v>10</v>
      </c>
      <c r="AI7" s="171">
        <v>1</v>
      </c>
      <c r="AJ7" s="42"/>
      <c r="AK7" s="53">
        <f t="shared" ref="AK7:AK12" si="10">+AK6+1</f>
        <v>3</v>
      </c>
      <c r="AL7" s="108">
        <v>42086</v>
      </c>
      <c r="AM7" s="29">
        <v>20268</v>
      </c>
      <c r="AN7" s="31">
        <v>1768154260001</v>
      </c>
      <c r="AO7" s="16" t="s">
        <v>120</v>
      </c>
      <c r="AP7" s="28">
        <v>36.18</v>
      </c>
      <c r="AQ7" s="25"/>
      <c r="AR7" s="27">
        <f t="shared" si="6"/>
        <v>0</v>
      </c>
      <c r="AS7" s="27">
        <f>AP7+AQ7+AR7</f>
        <v>36.18</v>
      </c>
      <c r="AT7" s="42"/>
      <c r="AU7" s="42"/>
      <c r="AV7" s="42"/>
      <c r="AW7" s="53">
        <v>5</v>
      </c>
      <c r="AX7" s="85">
        <v>42050</v>
      </c>
      <c r="AY7" s="32">
        <v>21787</v>
      </c>
      <c r="AZ7" s="32" t="s">
        <v>112</v>
      </c>
      <c r="BA7" s="76">
        <v>1710310549001</v>
      </c>
      <c r="BB7" s="21">
        <v>9.75</v>
      </c>
      <c r="BC7" s="21">
        <v>5.09</v>
      </c>
      <c r="BD7" s="20">
        <f t="shared" si="7"/>
        <v>0.61080000000000001</v>
      </c>
      <c r="BE7" s="20">
        <f t="shared" si="8"/>
        <v>15.450799999999999</v>
      </c>
      <c r="BF7" s="95">
        <v>14.84</v>
      </c>
      <c r="BG7" s="95">
        <v>1</v>
      </c>
    </row>
    <row r="8" spans="1:59">
      <c r="A8" s="53" t="e">
        <f t="shared" si="9"/>
        <v>#REF!</v>
      </c>
      <c r="B8" s="82">
        <v>42024</v>
      </c>
      <c r="C8" s="19">
        <v>158</v>
      </c>
      <c r="D8" s="16" t="s">
        <v>156</v>
      </c>
      <c r="E8" s="40">
        <v>1711850717001</v>
      </c>
      <c r="F8" s="20">
        <v>140</v>
      </c>
      <c r="G8" s="20"/>
      <c r="H8" s="20">
        <f t="shared" si="0"/>
        <v>0</v>
      </c>
      <c r="I8" s="20">
        <f t="shared" si="1"/>
        <v>140</v>
      </c>
      <c r="J8" s="42"/>
      <c r="K8" s="171"/>
      <c r="L8" s="42"/>
      <c r="M8" s="53" t="e">
        <f t="shared" si="2"/>
        <v>#VALUE!</v>
      </c>
      <c r="N8" s="82">
        <v>42352</v>
      </c>
      <c r="O8" s="19">
        <v>27779</v>
      </c>
      <c r="P8" s="16" t="s">
        <v>182</v>
      </c>
      <c r="Q8" s="31">
        <v>992820675001</v>
      </c>
      <c r="R8" s="20"/>
      <c r="S8" s="20">
        <v>12.5</v>
      </c>
      <c r="T8" s="21">
        <f t="shared" si="3"/>
        <v>1.5</v>
      </c>
      <c r="U8" s="21">
        <f t="shared" si="4"/>
        <v>14</v>
      </c>
      <c r="V8" s="42"/>
      <c r="W8" s="171"/>
      <c r="X8" s="42"/>
      <c r="Y8" s="53">
        <v>16</v>
      </c>
      <c r="Z8" s="82">
        <v>42257</v>
      </c>
      <c r="AA8" s="19">
        <v>1122</v>
      </c>
      <c r="AB8" s="16" t="s">
        <v>89</v>
      </c>
      <c r="AC8" s="31">
        <v>1705613592001</v>
      </c>
      <c r="AD8" s="21">
        <v>80.45</v>
      </c>
      <c r="AE8" s="20"/>
      <c r="AF8" s="20">
        <f t="shared" si="5"/>
        <v>0</v>
      </c>
      <c r="AG8" s="20">
        <f>+[2]DETALL.DEDUC.!Z18+AE8+AF8</f>
        <v>450</v>
      </c>
      <c r="AH8" s="42"/>
      <c r="AI8" s="171"/>
      <c r="AJ8" s="42"/>
      <c r="AK8" s="53">
        <f t="shared" si="10"/>
        <v>4</v>
      </c>
      <c r="AL8" s="108">
        <v>42062</v>
      </c>
      <c r="AM8" s="19">
        <v>5959813</v>
      </c>
      <c r="AN8" s="31">
        <v>1768154260001</v>
      </c>
      <c r="AO8" s="16" t="s">
        <v>120</v>
      </c>
      <c r="AP8" s="20">
        <v>12.31</v>
      </c>
      <c r="AQ8" s="20"/>
      <c r="AR8" s="20">
        <f t="shared" si="6"/>
        <v>0</v>
      </c>
      <c r="AS8" s="27">
        <f>AP8+AQ8+AR8</f>
        <v>12.31</v>
      </c>
      <c r="AT8" s="42"/>
      <c r="AU8" s="42"/>
      <c r="AV8" s="42"/>
      <c r="AW8" s="53">
        <v>6</v>
      </c>
      <c r="AX8" s="85">
        <v>42038</v>
      </c>
      <c r="AY8" s="19">
        <v>12860</v>
      </c>
      <c r="AZ8" s="19" t="s">
        <v>82</v>
      </c>
      <c r="BA8" s="76">
        <v>1711726792001</v>
      </c>
      <c r="BB8" s="21">
        <v>5.85</v>
      </c>
      <c r="BC8" s="21">
        <v>1.56</v>
      </c>
      <c r="BD8" s="20">
        <f t="shared" si="7"/>
        <v>0.18720000000000001</v>
      </c>
      <c r="BE8" s="20">
        <f t="shared" si="8"/>
        <v>7.5972</v>
      </c>
    </row>
    <row r="9" spans="1:59">
      <c r="A9" s="53" t="e">
        <f t="shared" si="9"/>
        <v>#REF!</v>
      </c>
      <c r="B9" s="82">
        <v>42035</v>
      </c>
      <c r="C9" s="19">
        <v>159</v>
      </c>
      <c r="D9" s="16" t="s">
        <v>156</v>
      </c>
      <c r="E9" s="40">
        <v>1711850717001</v>
      </c>
      <c r="F9" s="20">
        <v>140</v>
      </c>
      <c r="G9" s="20"/>
      <c r="H9" s="20">
        <f t="shared" si="0"/>
        <v>0</v>
      </c>
      <c r="I9" s="20">
        <f t="shared" si="1"/>
        <v>140</v>
      </c>
      <c r="J9" s="42"/>
      <c r="K9" s="171"/>
      <c r="L9" s="42"/>
      <c r="M9" s="53" t="e">
        <f t="shared" si="2"/>
        <v>#VALUE!</v>
      </c>
      <c r="N9" s="82">
        <v>42352</v>
      </c>
      <c r="O9" s="19">
        <v>27777</v>
      </c>
      <c r="P9" s="16" t="s">
        <v>182</v>
      </c>
      <c r="Q9" s="31">
        <v>992820675001</v>
      </c>
      <c r="R9" s="20"/>
      <c r="S9" s="20">
        <v>33.93</v>
      </c>
      <c r="T9" s="21">
        <f t="shared" si="3"/>
        <v>4.0716000000000001</v>
      </c>
      <c r="U9" s="21">
        <f t="shared" si="4"/>
        <v>38.001599999999996</v>
      </c>
      <c r="V9" s="106">
        <v>46.43</v>
      </c>
      <c r="W9" s="174">
        <v>2</v>
      </c>
      <c r="X9" s="106"/>
      <c r="Y9" s="53">
        <v>17</v>
      </c>
      <c r="Z9" s="82">
        <v>42257</v>
      </c>
      <c r="AA9" s="19">
        <v>971</v>
      </c>
      <c r="AB9" s="16" t="s">
        <v>89</v>
      </c>
      <c r="AC9" s="31">
        <v>1705613592001</v>
      </c>
      <c r="AD9" s="20"/>
      <c r="AE9" s="20">
        <v>5.98</v>
      </c>
      <c r="AF9" s="20">
        <f t="shared" si="5"/>
        <v>0.71760000000000002</v>
      </c>
      <c r="AG9" s="20">
        <f t="shared" ref="AG9:AG34" si="11">+AD9+AE9+AF9</f>
        <v>6.6976000000000004</v>
      </c>
      <c r="AH9" s="42">
        <v>86.43</v>
      </c>
      <c r="AI9" s="171">
        <v>2</v>
      </c>
      <c r="AJ9" s="42"/>
      <c r="AK9" s="53">
        <f t="shared" si="10"/>
        <v>5</v>
      </c>
      <c r="AL9" s="108">
        <v>42090</v>
      </c>
      <c r="AM9" s="29">
        <v>136194</v>
      </c>
      <c r="AN9" s="31">
        <v>1768154260001</v>
      </c>
      <c r="AO9" s="16" t="s">
        <v>120</v>
      </c>
      <c r="AP9" s="28">
        <v>5.91</v>
      </c>
      <c r="AQ9" s="25"/>
      <c r="AR9" s="27">
        <f t="shared" si="6"/>
        <v>0</v>
      </c>
      <c r="AS9" s="27">
        <f>AP9+AQ9+AR9</f>
        <v>5.91</v>
      </c>
      <c r="AT9" s="87"/>
      <c r="AU9" s="87"/>
      <c r="AV9" s="87"/>
      <c r="AW9" s="53">
        <v>7</v>
      </c>
      <c r="AX9" s="85">
        <v>42237</v>
      </c>
      <c r="AY9" s="19">
        <v>17981</v>
      </c>
      <c r="AZ9" s="19" t="s">
        <v>82</v>
      </c>
      <c r="BA9" s="76">
        <v>1711726792001</v>
      </c>
      <c r="BB9" s="77">
        <v>2.2999999999999998</v>
      </c>
      <c r="BC9" s="21"/>
      <c r="BD9" s="20">
        <f t="shared" si="7"/>
        <v>0</v>
      </c>
      <c r="BE9" s="20">
        <f t="shared" si="8"/>
        <v>2.2999999999999998</v>
      </c>
    </row>
    <row r="10" spans="1:59">
      <c r="A10" s="53" t="e">
        <f t="shared" si="9"/>
        <v>#REF!</v>
      </c>
      <c r="B10" s="82">
        <v>42420</v>
      </c>
      <c r="C10" s="19">
        <v>160</v>
      </c>
      <c r="D10" s="16" t="s">
        <v>156</v>
      </c>
      <c r="E10" s="40">
        <v>1711850717001</v>
      </c>
      <c r="F10" s="20">
        <v>140</v>
      </c>
      <c r="G10" s="20"/>
      <c r="H10" s="20">
        <f t="shared" si="0"/>
        <v>0</v>
      </c>
      <c r="I10" s="20">
        <f t="shared" si="1"/>
        <v>140</v>
      </c>
      <c r="J10" s="42"/>
      <c r="K10" s="171"/>
      <c r="L10" s="42"/>
      <c r="M10" s="53" t="e">
        <f t="shared" si="2"/>
        <v>#VALUE!</v>
      </c>
      <c r="N10" s="82">
        <v>42050</v>
      </c>
      <c r="O10" s="19">
        <v>2249</v>
      </c>
      <c r="P10" s="16" t="s">
        <v>129</v>
      </c>
      <c r="Q10" s="31">
        <v>1001667532001</v>
      </c>
      <c r="R10" s="20">
        <v>33</v>
      </c>
      <c r="S10" s="20"/>
      <c r="T10" s="20">
        <f t="shared" si="3"/>
        <v>0</v>
      </c>
      <c r="U10" s="20">
        <f t="shared" si="4"/>
        <v>33</v>
      </c>
      <c r="V10" s="106">
        <v>33</v>
      </c>
      <c r="W10" s="174">
        <v>1</v>
      </c>
      <c r="X10" s="106"/>
      <c r="Y10" s="53">
        <v>22</v>
      </c>
      <c r="Z10" s="82">
        <v>42264</v>
      </c>
      <c r="AA10" s="16">
        <v>184781</v>
      </c>
      <c r="AB10" s="16" t="s">
        <v>189</v>
      </c>
      <c r="AC10" s="31">
        <v>1710878941001</v>
      </c>
      <c r="AD10" s="20">
        <v>30</v>
      </c>
      <c r="AE10" s="20"/>
      <c r="AF10" s="20">
        <f t="shared" si="5"/>
        <v>0</v>
      </c>
      <c r="AG10" s="20">
        <f t="shared" si="11"/>
        <v>30</v>
      </c>
      <c r="AH10" s="42">
        <v>30</v>
      </c>
      <c r="AI10" s="171">
        <v>1</v>
      </c>
      <c r="AJ10" s="42"/>
      <c r="AK10" s="53">
        <f t="shared" si="10"/>
        <v>6</v>
      </c>
      <c r="AL10" s="109">
        <v>42056</v>
      </c>
      <c r="AM10" s="19">
        <v>5844171</v>
      </c>
      <c r="AN10" s="31">
        <v>1768154260001</v>
      </c>
      <c r="AO10" s="16" t="s">
        <v>120</v>
      </c>
      <c r="AP10" s="130">
        <v>28.2</v>
      </c>
      <c r="AQ10" s="27"/>
      <c r="AR10" s="27">
        <f t="shared" si="6"/>
        <v>0</v>
      </c>
      <c r="AS10" s="27">
        <f t="shared" ref="AS10:AS22" si="12">+AP10+AQ10+AR10</f>
        <v>28.2</v>
      </c>
      <c r="AT10" s="87"/>
      <c r="AU10" s="87"/>
      <c r="AV10" s="87"/>
      <c r="AW10" s="93">
        <v>8</v>
      </c>
      <c r="AX10" s="85">
        <v>42277</v>
      </c>
      <c r="AY10" s="19">
        <v>18291</v>
      </c>
      <c r="AZ10" s="19" t="s">
        <v>82</v>
      </c>
      <c r="BA10" s="76">
        <v>1711726792001</v>
      </c>
      <c r="BB10" s="77">
        <v>10.029999999999999</v>
      </c>
      <c r="BC10" s="21"/>
      <c r="BD10" s="20">
        <f t="shared" si="7"/>
        <v>0</v>
      </c>
      <c r="BE10" s="20">
        <f t="shared" si="8"/>
        <v>10.029999999999999</v>
      </c>
      <c r="BF10">
        <v>19.739999999999998</v>
      </c>
      <c r="BG10">
        <v>3</v>
      </c>
    </row>
    <row r="11" spans="1:59">
      <c r="A11" s="53" t="e">
        <f t="shared" si="9"/>
        <v>#REF!</v>
      </c>
      <c r="B11" s="82">
        <v>42106</v>
      </c>
      <c r="C11" s="19">
        <v>161</v>
      </c>
      <c r="D11" s="16" t="s">
        <v>156</v>
      </c>
      <c r="E11" s="40">
        <v>1711850717001</v>
      </c>
      <c r="F11" s="20">
        <v>140</v>
      </c>
      <c r="G11" s="20"/>
      <c r="H11" s="20">
        <f t="shared" si="0"/>
        <v>0</v>
      </c>
      <c r="I11" s="20">
        <f t="shared" si="1"/>
        <v>140</v>
      </c>
      <c r="J11" s="42"/>
      <c r="K11" s="171"/>
      <c r="L11" s="42"/>
      <c r="M11" s="53" t="e">
        <f t="shared" si="2"/>
        <v>#VALUE!</v>
      </c>
      <c r="N11" s="85">
        <v>42359</v>
      </c>
      <c r="O11" s="19">
        <v>3269</v>
      </c>
      <c r="P11" s="19" t="s">
        <v>210</v>
      </c>
      <c r="Q11" s="76">
        <v>1001999083001</v>
      </c>
      <c r="R11" s="21"/>
      <c r="S11" s="21">
        <v>108.93</v>
      </c>
      <c r="T11" s="20">
        <f t="shared" si="3"/>
        <v>13.0716</v>
      </c>
      <c r="U11" s="21">
        <f t="shared" si="4"/>
        <v>122.00160000000001</v>
      </c>
      <c r="V11" s="42">
        <v>108.93</v>
      </c>
      <c r="W11" s="171">
        <v>1</v>
      </c>
      <c r="X11" s="42"/>
      <c r="Y11" s="53">
        <v>19</v>
      </c>
      <c r="Z11" s="82">
        <v>42257</v>
      </c>
      <c r="AA11" s="19">
        <v>152856</v>
      </c>
      <c r="AB11" s="16" t="s">
        <v>186</v>
      </c>
      <c r="AC11" s="99">
        <v>1711700599001</v>
      </c>
      <c r="AD11" s="20">
        <v>12</v>
      </c>
      <c r="AE11" s="20"/>
      <c r="AF11" s="20">
        <f t="shared" si="5"/>
        <v>0</v>
      </c>
      <c r="AG11" s="20">
        <f t="shared" si="11"/>
        <v>12</v>
      </c>
      <c r="AH11" s="42">
        <v>12</v>
      </c>
      <c r="AI11" s="171">
        <v>1</v>
      </c>
      <c r="AJ11" s="42"/>
      <c r="AK11" s="53">
        <f t="shared" si="10"/>
        <v>7</v>
      </c>
      <c r="AL11" s="109">
        <v>42116</v>
      </c>
      <c r="AM11" s="19">
        <v>589039</v>
      </c>
      <c r="AN11" s="31">
        <v>1768154260001</v>
      </c>
      <c r="AO11" s="16" t="s">
        <v>120</v>
      </c>
      <c r="AP11" s="27">
        <v>63.13</v>
      </c>
      <c r="AQ11" s="27"/>
      <c r="AR11" s="27">
        <f t="shared" si="6"/>
        <v>0</v>
      </c>
      <c r="AS11" s="27">
        <f t="shared" si="12"/>
        <v>63.13</v>
      </c>
      <c r="AT11" s="87"/>
      <c r="AU11" s="87"/>
      <c r="AV11" s="87"/>
      <c r="AW11" s="94">
        <v>9</v>
      </c>
      <c r="AX11" s="85">
        <v>42618</v>
      </c>
      <c r="AY11" s="19">
        <v>2942</v>
      </c>
      <c r="AZ11" s="19" t="s">
        <v>197</v>
      </c>
      <c r="BA11" s="76">
        <v>1713280145001</v>
      </c>
      <c r="BB11" s="21">
        <v>3.85</v>
      </c>
      <c r="BC11" s="21">
        <v>16.5</v>
      </c>
      <c r="BD11" s="20">
        <f t="shared" si="7"/>
        <v>1.98</v>
      </c>
      <c r="BE11" s="20">
        <f t="shared" si="8"/>
        <v>22.330000000000002</v>
      </c>
    </row>
    <row r="12" spans="1:59">
      <c r="A12" s="53" t="e">
        <f t="shared" si="9"/>
        <v>#REF!</v>
      </c>
      <c r="B12" s="82">
        <v>42109</v>
      </c>
      <c r="C12" s="19">
        <v>164</v>
      </c>
      <c r="D12" s="16" t="s">
        <v>156</v>
      </c>
      <c r="E12" s="40">
        <v>1711850717001</v>
      </c>
      <c r="F12" s="20">
        <v>140</v>
      </c>
      <c r="G12" s="20"/>
      <c r="H12" s="20">
        <f t="shared" si="0"/>
        <v>0</v>
      </c>
      <c r="I12" s="20">
        <f t="shared" si="1"/>
        <v>140</v>
      </c>
      <c r="J12" s="42">
        <v>840</v>
      </c>
      <c r="K12" s="171">
        <v>6</v>
      </c>
      <c r="L12" s="42"/>
      <c r="M12" s="53" t="e">
        <f t="shared" si="2"/>
        <v>#VALUE!</v>
      </c>
      <c r="N12" s="82">
        <v>42359</v>
      </c>
      <c r="O12" s="19">
        <v>432</v>
      </c>
      <c r="P12" s="16" t="s">
        <v>175</v>
      </c>
      <c r="Q12" s="31">
        <v>1002074779001</v>
      </c>
      <c r="R12" s="20"/>
      <c r="S12" s="20">
        <v>8.92</v>
      </c>
      <c r="T12" s="21">
        <f t="shared" si="3"/>
        <v>1.0704</v>
      </c>
      <c r="U12" s="21">
        <f t="shared" si="4"/>
        <v>9.9903999999999993</v>
      </c>
      <c r="V12" s="42">
        <v>8.92</v>
      </c>
      <c r="W12" s="171">
        <v>1</v>
      </c>
      <c r="X12" s="42"/>
      <c r="Y12" s="53">
        <f>+Y11+1</f>
        <v>20</v>
      </c>
      <c r="Z12" s="82">
        <v>42036</v>
      </c>
      <c r="AA12" s="19">
        <v>131749</v>
      </c>
      <c r="AB12" s="16" t="s">
        <v>123</v>
      </c>
      <c r="AC12" s="31">
        <v>1790102327001</v>
      </c>
      <c r="AD12" s="20">
        <v>170.67</v>
      </c>
      <c r="AE12" s="20"/>
      <c r="AF12" s="20">
        <f t="shared" si="5"/>
        <v>0</v>
      </c>
      <c r="AG12" s="20">
        <f t="shared" si="11"/>
        <v>170.67</v>
      </c>
      <c r="AH12" s="42"/>
      <c r="AI12" s="171"/>
      <c r="AJ12" s="42"/>
      <c r="AK12" s="53">
        <f t="shared" si="10"/>
        <v>8</v>
      </c>
      <c r="AL12" s="109">
        <v>42146</v>
      </c>
      <c r="AM12" s="19">
        <v>1160036</v>
      </c>
      <c r="AN12" s="31">
        <v>1768154260001</v>
      </c>
      <c r="AO12" s="16" t="s">
        <v>120</v>
      </c>
      <c r="AP12" s="27">
        <v>38.18</v>
      </c>
      <c r="AQ12" s="27"/>
      <c r="AR12" s="27">
        <f t="shared" si="6"/>
        <v>0</v>
      </c>
      <c r="AS12" s="27">
        <f t="shared" si="12"/>
        <v>38.18</v>
      </c>
      <c r="AT12" s="87"/>
      <c r="AU12" s="87"/>
      <c r="AV12" s="87"/>
      <c r="AW12" s="94">
        <v>10</v>
      </c>
      <c r="AX12" s="85">
        <v>42291</v>
      </c>
      <c r="AY12" s="19">
        <v>3370</v>
      </c>
      <c r="AZ12" s="19" t="s">
        <v>197</v>
      </c>
      <c r="BA12" s="76">
        <v>1713280145001</v>
      </c>
      <c r="BB12" s="77">
        <v>5.3</v>
      </c>
      <c r="BC12" s="21"/>
      <c r="BD12" s="20">
        <f t="shared" si="7"/>
        <v>0</v>
      </c>
      <c r="BE12" s="20">
        <f t="shared" si="8"/>
        <v>5.3</v>
      </c>
    </row>
    <row r="13" spans="1:59">
      <c r="A13" s="53" t="e">
        <f t="shared" si="9"/>
        <v>#REF!</v>
      </c>
      <c r="B13" s="82">
        <v>42057</v>
      </c>
      <c r="C13" s="19">
        <v>47704</v>
      </c>
      <c r="D13" s="16" t="s">
        <v>109</v>
      </c>
      <c r="E13" s="31">
        <v>1790710319001</v>
      </c>
      <c r="F13" s="20">
        <v>12.6</v>
      </c>
      <c r="G13" s="20"/>
      <c r="H13" s="20">
        <f t="shared" si="0"/>
        <v>0</v>
      </c>
      <c r="I13" s="20">
        <f t="shared" si="1"/>
        <v>12.6</v>
      </c>
      <c r="J13" s="42"/>
      <c r="K13" s="171"/>
      <c r="L13" s="42"/>
      <c r="M13" s="53" t="e">
        <f t="shared" si="2"/>
        <v>#VALUE!</v>
      </c>
      <c r="N13" s="101">
        <v>42050</v>
      </c>
      <c r="O13" s="57">
        <v>15808</v>
      </c>
      <c r="P13" s="16" t="s">
        <v>128</v>
      </c>
      <c r="Q13" s="99">
        <v>1002119327001</v>
      </c>
      <c r="R13" s="100"/>
      <c r="S13" s="100">
        <v>21.25</v>
      </c>
      <c r="T13" s="100">
        <f t="shared" si="3"/>
        <v>2.5499999999999998</v>
      </c>
      <c r="U13" s="100">
        <f t="shared" si="4"/>
        <v>23.8</v>
      </c>
      <c r="V13" s="107">
        <v>21.25</v>
      </c>
      <c r="W13" s="175">
        <v>1</v>
      </c>
      <c r="X13" s="107"/>
      <c r="Y13" s="53">
        <f>+Y12+1</f>
        <v>21</v>
      </c>
      <c r="Z13" s="82">
        <v>42064</v>
      </c>
      <c r="AA13" s="19">
        <v>132900</v>
      </c>
      <c r="AB13" s="16" t="s">
        <v>123</v>
      </c>
      <c r="AC13" s="31">
        <v>1790102327001</v>
      </c>
      <c r="AD13" s="20">
        <v>170.67</v>
      </c>
      <c r="AE13" s="20"/>
      <c r="AF13" s="20">
        <f t="shared" si="5"/>
        <v>0</v>
      </c>
      <c r="AG13" s="20">
        <f t="shared" si="11"/>
        <v>170.67</v>
      </c>
      <c r="AH13" s="42"/>
      <c r="AI13" s="171"/>
      <c r="AJ13" s="42"/>
      <c r="AK13" s="53">
        <v>9</v>
      </c>
      <c r="AL13" s="109">
        <v>42177</v>
      </c>
      <c r="AM13" s="19">
        <v>1733808</v>
      </c>
      <c r="AN13" s="31">
        <v>1768154260001</v>
      </c>
      <c r="AO13" s="16" t="s">
        <v>120</v>
      </c>
      <c r="AP13" s="27">
        <v>38.18</v>
      </c>
      <c r="AQ13" s="27"/>
      <c r="AR13" s="27">
        <f t="shared" si="6"/>
        <v>0</v>
      </c>
      <c r="AS13" s="27">
        <f t="shared" si="12"/>
        <v>38.18</v>
      </c>
      <c r="AT13" s="87"/>
      <c r="AU13" s="87"/>
      <c r="AV13" s="87"/>
      <c r="AW13" s="94">
        <v>11</v>
      </c>
      <c r="AX13" s="85">
        <v>42303</v>
      </c>
      <c r="AY13" s="19">
        <v>3430</v>
      </c>
      <c r="AZ13" s="19" t="s">
        <v>197</v>
      </c>
      <c r="BA13" s="76">
        <v>1713280145001</v>
      </c>
      <c r="BB13" s="77">
        <v>8.1999999999999993</v>
      </c>
      <c r="BC13" s="21"/>
      <c r="BD13" s="20">
        <f t="shared" si="7"/>
        <v>0</v>
      </c>
      <c r="BE13" s="20">
        <f t="shared" si="8"/>
        <v>8.1999999999999993</v>
      </c>
      <c r="BF13">
        <v>33.840000000000003</v>
      </c>
      <c r="BG13">
        <v>3</v>
      </c>
    </row>
    <row r="14" spans="1:59">
      <c r="A14" s="53" t="e">
        <f t="shared" si="9"/>
        <v>#REF!</v>
      </c>
      <c r="B14" s="82">
        <v>42064</v>
      </c>
      <c r="C14" s="19">
        <v>1354215</v>
      </c>
      <c r="D14" s="16" t="s">
        <v>109</v>
      </c>
      <c r="E14" s="31">
        <v>1790710319001</v>
      </c>
      <c r="F14" s="20">
        <v>2.72</v>
      </c>
      <c r="G14" s="20"/>
      <c r="H14" s="20">
        <f t="shared" si="0"/>
        <v>0</v>
      </c>
      <c r="I14" s="20">
        <f t="shared" si="1"/>
        <v>2.72</v>
      </c>
      <c r="J14" s="42"/>
      <c r="K14" s="171"/>
      <c r="L14" s="42"/>
      <c r="M14" s="53" t="e">
        <f t="shared" si="2"/>
        <v>#VALUE!</v>
      </c>
      <c r="N14" s="82">
        <v>42359</v>
      </c>
      <c r="O14" s="19">
        <v>970</v>
      </c>
      <c r="P14" s="16" t="s">
        <v>177</v>
      </c>
      <c r="Q14" s="31">
        <v>1003864830001</v>
      </c>
      <c r="R14" s="20">
        <v>36</v>
      </c>
      <c r="S14" s="20"/>
      <c r="T14" s="21">
        <f t="shared" si="3"/>
        <v>0</v>
      </c>
      <c r="U14" s="21">
        <f t="shared" si="4"/>
        <v>36</v>
      </c>
      <c r="V14" s="42">
        <v>36</v>
      </c>
      <c r="W14" s="171">
        <v>1</v>
      </c>
      <c r="X14" s="42"/>
      <c r="Y14" s="53">
        <f>+Y13+1</f>
        <v>22</v>
      </c>
      <c r="Z14" s="82">
        <v>42095</v>
      </c>
      <c r="AA14" s="19">
        <v>134410</v>
      </c>
      <c r="AB14" s="16" t="s">
        <v>123</v>
      </c>
      <c r="AC14" s="31">
        <v>1790102327001</v>
      </c>
      <c r="AD14" s="20">
        <v>170.67</v>
      </c>
      <c r="AE14" s="20"/>
      <c r="AF14" s="20">
        <f t="shared" si="5"/>
        <v>0</v>
      </c>
      <c r="AG14" s="20">
        <f t="shared" si="11"/>
        <v>170.67</v>
      </c>
      <c r="AH14" s="42"/>
      <c r="AI14" s="171"/>
      <c r="AJ14" s="42"/>
      <c r="AK14" s="53">
        <v>10</v>
      </c>
      <c r="AL14" s="109">
        <v>42207</v>
      </c>
      <c r="AM14" s="32">
        <v>2309491</v>
      </c>
      <c r="AN14" s="31">
        <v>1768154260001</v>
      </c>
      <c r="AO14" s="16" t="s">
        <v>120</v>
      </c>
      <c r="AP14" s="27">
        <v>14.52</v>
      </c>
      <c r="AQ14" s="27"/>
      <c r="AR14" s="27">
        <f t="shared" si="6"/>
        <v>0</v>
      </c>
      <c r="AS14" s="27">
        <f t="shared" si="12"/>
        <v>14.52</v>
      </c>
      <c r="AT14" s="42"/>
      <c r="AU14" s="42"/>
      <c r="AV14" s="42"/>
      <c r="AW14" s="94">
        <v>13</v>
      </c>
      <c r="AX14" s="85">
        <v>42016</v>
      </c>
      <c r="AY14" s="19">
        <v>13100</v>
      </c>
      <c r="AZ14" s="19" t="s">
        <v>110</v>
      </c>
      <c r="BA14" s="76">
        <v>1713526570001</v>
      </c>
      <c r="BB14" s="21">
        <v>1.1200000000000001</v>
      </c>
      <c r="BC14" s="21">
        <v>2.31</v>
      </c>
      <c r="BD14" s="20">
        <f t="shared" si="7"/>
        <v>0.2772</v>
      </c>
      <c r="BE14" s="20">
        <f t="shared" si="8"/>
        <v>3.7072000000000003</v>
      </c>
    </row>
    <row r="15" spans="1:59">
      <c r="A15" s="53" t="e">
        <f t="shared" si="9"/>
        <v>#REF!</v>
      </c>
      <c r="B15" s="82">
        <v>42072</v>
      </c>
      <c r="C15" s="19">
        <v>1279</v>
      </c>
      <c r="D15" s="16" t="s">
        <v>109</v>
      </c>
      <c r="E15" s="31">
        <v>1790710319001</v>
      </c>
      <c r="F15" s="20">
        <v>13.75</v>
      </c>
      <c r="G15" s="20"/>
      <c r="H15" s="20">
        <f t="shared" si="0"/>
        <v>0</v>
      </c>
      <c r="I15" s="20">
        <f t="shared" si="1"/>
        <v>13.75</v>
      </c>
      <c r="J15" s="42"/>
      <c r="K15" s="171"/>
      <c r="L15" s="42"/>
      <c r="M15" s="53" t="e">
        <f t="shared" si="2"/>
        <v>#VALUE!</v>
      </c>
      <c r="N15" s="85">
        <v>42267</v>
      </c>
      <c r="O15" s="19">
        <v>7033</v>
      </c>
      <c r="P15" s="19" t="s">
        <v>208</v>
      </c>
      <c r="Q15" s="76">
        <v>1600255259001</v>
      </c>
      <c r="R15" s="21">
        <v>90</v>
      </c>
      <c r="S15" s="21"/>
      <c r="T15" s="21">
        <f t="shared" si="3"/>
        <v>0</v>
      </c>
      <c r="U15" s="21">
        <f t="shared" si="4"/>
        <v>90</v>
      </c>
      <c r="V15" s="42">
        <v>90</v>
      </c>
      <c r="W15" s="171">
        <v>1</v>
      </c>
      <c r="X15" s="42"/>
      <c r="Y15" s="53">
        <f>+Y14+1</f>
        <v>23</v>
      </c>
      <c r="Z15" s="82">
        <v>42125</v>
      </c>
      <c r="AA15" s="19">
        <v>135746</v>
      </c>
      <c r="AB15" s="16" t="s">
        <v>123</v>
      </c>
      <c r="AC15" s="31">
        <v>1790102327001</v>
      </c>
      <c r="AD15" s="20">
        <v>170.67</v>
      </c>
      <c r="AE15" s="20"/>
      <c r="AF15" s="20">
        <f t="shared" si="5"/>
        <v>0</v>
      </c>
      <c r="AG15" s="20">
        <f t="shared" si="11"/>
        <v>170.67</v>
      </c>
      <c r="AH15" s="42"/>
      <c r="AI15" s="171"/>
      <c r="AJ15" s="42"/>
      <c r="AK15" s="53">
        <v>11</v>
      </c>
      <c r="AL15" s="108">
        <v>42237</v>
      </c>
      <c r="AM15" s="19">
        <v>2884531</v>
      </c>
      <c r="AN15" s="31">
        <v>1768154260001</v>
      </c>
      <c r="AO15" s="16" t="s">
        <v>120</v>
      </c>
      <c r="AP15" s="27">
        <v>33.44</v>
      </c>
      <c r="AQ15" s="27"/>
      <c r="AR15" s="27">
        <f t="shared" si="6"/>
        <v>0</v>
      </c>
      <c r="AS15" s="27">
        <f t="shared" si="12"/>
        <v>33.44</v>
      </c>
      <c r="AT15" s="87"/>
      <c r="AU15" s="87"/>
      <c r="AV15" s="87"/>
      <c r="AW15" s="94">
        <v>14</v>
      </c>
      <c r="AX15" s="85">
        <v>42053</v>
      </c>
      <c r="AY15" s="19">
        <v>19498</v>
      </c>
      <c r="AZ15" s="19" t="s">
        <v>110</v>
      </c>
      <c r="BA15" s="76">
        <v>1713526570001</v>
      </c>
      <c r="BB15" s="21">
        <v>2.8</v>
      </c>
      <c r="BC15" s="21"/>
      <c r="BD15" s="20">
        <f t="shared" si="7"/>
        <v>0</v>
      </c>
      <c r="BE15" s="20">
        <f t="shared" si="8"/>
        <v>2.8</v>
      </c>
    </row>
    <row r="16" spans="1:59">
      <c r="A16" s="53" t="e">
        <f t="shared" si="9"/>
        <v>#REF!</v>
      </c>
      <c r="B16" s="82">
        <v>42115</v>
      </c>
      <c r="C16" s="57">
        <v>44715</v>
      </c>
      <c r="D16" s="16" t="s">
        <v>141</v>
      </c>
      <c r="E16" s="31">
        <v>1790710319001</v>
      </c>
      <c r="F16" s="20">
        <v>1.25</v>
      </c>
      <c r="G16" s="20"/>
      <c r="H16" s="20">
        <f t="shared" si="0"/>
        <v>0</v>
      </c>
      <c r="I16" s="20">
        <f t="shared" si="1"/>
        <v>1.25</v>
      </c>
      <c r="J16" s="42"/>
      <c r="K16" s="171"/>
      <c r="L16" s="42"/>
      <c r="M16" s="98" t="e">
        <f t="shared" si="2"/>
        <v>#VALUE!</v>
      </c>
      <c r="N16" s="82">
        <v>42118</v>
      </c>
      <c r="O16" s="19">
        <v>1364</v>
      </c>
      <c r="P16" s="16" t="s">
        <v>131</v>
      </c>
      <c r="Q16" s="31">
        <v>1700431222001</v>
      </c>
      <c r="R16" s="20">
        <v>30</v>
      </c>
      <c r="S16" s="20"/>
      <c r="T16" s="20">
        <f t="shared" si="3"/>
        <v>0</v>
      </c>
      <c r="U16" s="20">
        <f t="shared" si="4"/>
        <v>30</v>
      </c>
      <c r="V16" s="42">
        <v>30</v>
      </c>
      <c r="W16" s="171">
        <v>1</v>
      </c>
      <c r="X16" s="42"/>
      <c r="Y16" s="53">
        <v>24</v>
      </c>
      <c r="Z16" s="82">
        <v>42237</v>
      </c>
      <c r="AA16" s="16">
        <v>138546</v>
      </c>
      <c r="AB16" s="16" t="s">
        <v>123</v>
      </c>
      <c r="AC16" s="31">
        <v>1790102327001</v>
      </c>
      <c r="AD16" s="20">
        <v>115.2</v>
      </c>
      <c r="AE16" s="20"/>
      <c r="AF16" s="20">
        <f t="shared" si="5"/>
        <v>0</v>
      </c>
      <c r="AG16" s="20">
        <f t="shared" si="11"/>
        <v>115.2</v>
      </c>
      <c r="AH16" s="42"/>
      <c r="AI16" s="171"/>
      <c r="AJ16" s="42"/>
      <c r="AK16" s="53">
        <v>12</v>
      </c>
      <c r="AL16" s="108">
        <v>42269</v>
      </c>
      <c r="AM16" s="19">
        <v>3689414</v>
      </c>
      <c r="AN16" s="31">
        <v>1768154260001</v>
      </c>
      <c r="AO16" s="16" t="s">
        <v>120</v>
      </c>
      <c r="AP16" s="27">
        <v>33.25</v>
      </c>
      <c r="AQ16" s="27"/>
      <c r="AR16" s="27">
        <f t="shared" si="6"/>
        <v>0</v>
      </c>
      <c r="AS16" s="27">
        <f t="shared" si="12"/>
        <v>33.25</v>
      </c>
      <c r="AT16" s="42"/>
      <c r="AU16" s="42"/>
      <c r="AV16" s="42"/>
      <c r="AW16" s="94">
        <v>15</v>
      </c>
      <c r="AX16" s="85">
        <v>42038</v>
      </c>
      <c r="AY16" s="19">
        <v>17226</v>
      </c>
      <c r="AZ16" s="19" t="s">
        <v>110</v>
      </c>
      <c r="BA16" s="76">
        <v>1713526570001</v>
      </c>
      <c r="BB16" s="21">
        <v>1.45</v>
      </c>
      <c r="BC16" s="21"/>
      <c r="BD16" s="20">
        <f t="shared" si="7"/>
        <v>0</v>
      </c>
      <c r="BE16" s="20">
        <f t="shared" si="8"/>
        <v>1.45</v>
      </c>
    </row>
    <row r="17" spans="1:57">
      <c r="A17" s="53" t="e">
        <f t="shared" si="9"/>
        <v>#REF!</v>
      </c>
      <c r="B17" s="82">
        <v>42148</v>
      </c>
      <c r="C17" s="19">
        <v>98242</v>
      </c>
      <c r="D17" s="16" t="s">
        <v>141</v>
      </c>
      <c r="E17" s="31">
        <v>1790710319001</v>
      </c>
      <c r="F17" s="16">
        <v>4.79</v>
      </c>
      <c r="G17" s="20"/>
      <c r="H17" s="20">
        <f t="shared" si="0"/>
        <v>0</v>
      </c>
      <c r="I17" s="20">
        <f t="shared" si="1"/>
        <v>4.79</v>
      </c>
      <c r="J17" s="42"/>
      <c r="K17" s="171"/>
      <c r="L17" s="42"/>
      <c r="M17" s="53" t="e">
        <f t="shared" si="2"/>
        <v>#VALUE!</v>
      </c>
      <c r="N17" s="82">
        <v>42721</v>
      </c>
      <c r="O17" s="19">
        <v>43079</v>
      </c>
      <c r="P17" s="16" t="s">
        <v>181</v>
      </c>
      <c r="Q17" s="31">
        <v>1708262652001</v>
      </c>
      <c r="R17" s="20"/>
      <c r="S17" s="20">
        <v>11.65</v>
      </c>
      <c r="T17" s="21">
        <f t="shared" si="3"/>
        <v>1.3979999999999999</v>
      </c>
      <c r="U17" s="21">
        <f t="shared" si="4"/>
        <v>13.048</v>
      </c>
      <c r="V17" s="42"/>
      <c r="W17" s="171"/>
      <c r="X17" s="42"/>
      <c r="Y17" s="53">
        <v>25</v>
      </c>
      <c r="Z17" s="82">
        <v>42248</v>
      </c>
      <c r="AA17" s="16">
        <v>139913</v>
      </c>
      <c r="AB17" s="16" t="s">
        <v>123</v>
      </c>
      <c r="AC17" s="31">
        <v>1790102327001</v>
      </c>
      <c r="AD17" s="20">
        <v>184.32</v>
      </c>
      <c r="AE17" s="20"/>
      <c r="AF17" s="20">
        <f t="shared" si="5"/>
        <v>0</v>
      </c>
      <c r="AG17" s="20">
        <f t="shared" si="11"/>
        <v>184.32</v>
      </c>
      <c r="AH17" s="42"/>
      <c r="AI17" s="171"/>
      <c r="AJ17" s="42"/>
      <c r="AK17" s="53">
        <v>13</v>
      </c>
      <c r="AL17" s="108">
        <v>42299</v>
      </c>
      <c r="AM17" s="19">
        <v>426109</v>
      </c>
      <c r="AN17" s="31">
        <v>1768154260001</v>
      </c>
      <c r="AO17" s="16" t="s">
        <v>120</v>
      </c>
      <c r="AP17" s="27">
        <v>33</v>
      </c>
      <c r="AQ17" s="27"/>
      <c r="AR17" s="27">
        <f t="shared" si="6"/>
        <v>0</v>
      </c>
      <c r="AS17" s="27">
        <f t="shared" si="12"/>
        <v>33</v>
      </c>
      <c r="AT17" s="87"/>
      <c r="AU17" s="87"/>
      <c r="AV17" s="87"/>
      <c r="AW17" s="94">
        <v>16</v>
      </c>
      <c r="AX17" s="85">
        <v>42038</v>
      </c>
      <c r="AY17" s="19">
        <v>17226</v>
      </c>
      <c r="AZ17" s="19" t="s">
        <v>110</v>
      </c>
      <c r="BA17" s="76">
        <v>1713526570001</v>
      </c>
      <c r="BB17" s="21">
        <v>1.58</v>
      </c>
      <c r="BC17" s="21"/>
      <c r="BD17" s="20">
        <f t="shared" si="7"/>
        <v>0</v>
      </c>
      <c r="BE17" s="20">
        <f t="shared" si="8"/>
        <v>1.58</v>
      </c>
    </row>
    <row r="18" spans="1:57">
      <c r="A18" s="53">
        <v>25</v>
      </c>
      <c r="B18" s="82">
        <v>42164</v>
      </c>
      <c r="C18" s="60">
        <v>123146</v>
      </c>
      <c r="D18" s="16" t="s">
        <v>141</v>
      </c>
      <c r="E18" s="31">
        <v>1790710319001</v>
      </c>
      <c r="F18" s="20">
        <v>5.41</v>
      </c>
      <c r="G18" s="20"/>
      <c r="H18" s="20">
        <f t="shared" si="0"/>
        <v>0</v>
      </c>
      <c r="I18" s="20">
        <f t="shared" si="1"/>
        <v>5.41</v>
      </c>
      <c r="J18" s="42"/>
      <c r="K18" s="171"/>
      <c r="L18" s="42"/>
      <c r="M18" s="53" t="e">
        <f t="shared" si="2"/>
        <v>#VALUE!</v>
      </c>
      <c r="N18" s="82">
        <v>42355</v>
      </c>
      <c r="O18" s="19">
        <v>43078</v>
      </c>
      <c r="P18" s="16" t="s">
        <v>181</v>
      </c>
      <c r="Q18" s="31">
        <v>1708262652001</v>
      </c>
      <c r="R18" s="20"/>
      <c r="S18" s="20">
        <v>18.75</v>
      </c>
      <c r="T18" s="21">
        <f t="shared" si="3"/>
        <v>2.25</v>
      </c>
      <c r="U18" s="21">
        <f t="shared" si="4"/>
        <v>21</v>
      </c>
      <c r="V18" s="42">
        <v>30.4</v>
      </c>
      <c r="W18" s="171">
        <v>2</v>
      </c>
      <c r="X18" s="42"/>
      <c r="Y18" s="53">
        <v>26</v>
      </c>
      <c r="Z18" s="82">
        <v>42278</v>
      </c>
      <c r="AA18" s="16">
        <v>141343</v>
      </c>
      <c r="AB18" s="16" t="s">
        <v>123</v>
      </c>
      <c r="AC18" s="31">
        <v>1790102327001</v>
      </c>
      <c r="AD18" s="20">
        <v>184.32</v>
      </c>
      <c r="AE18" s="20"/>
      <c r="AF18" s="20">
        <f t="shared" si="5"/>
        <v>0</v>
      </c>
      <c r="AG18" s="20">
        <f t="shared" si="11"/>
        <v>184.32</v>
      </c>
      <c r="AH18" s="42"/>
      <c r="AI18" s="171"/>
      <c r="AJ18" s="42"/>
      <c r="AK18" s="53">
        <v>14</v>
      </c>
      <c r="AL18" s="108">
        <v>42330</v>
      </c>
      <c r="AM18" s="19">
        <v>950700</v>
      </c>
      <c r="AN18" s="31">
        <v>1768154260001</v>
      </c>
      <c r="AO18" s="16" t="s">
        <v>120</v>
      </c>
      <c r="AP18" s="27">
        <v>2.17</v>
      </c>
      <c r="AQ18" s="27"/>
      <c r="AR18" s="27">
        <f t="shared" si="6"/>
        <v>0</v>
      </c>
      <c r="AS18" s="27">
        <f t="shared" si="12"/>
        <v>2.17</v>
      </c>
      <c r="AT18" s="87"/>
      <c r="AU18" s="87"/>
      <c r="AV18" s="87"/>
      <c r="AW18" s="94">
        <v>17</v>
      </c>
      <c r="AX18" s="85">
        <v>42073</v>
      </c>
      <c r="AY18" s="19">
        <v>23361</v>
      </c>
      <c r="AZ18" s="19" t="s">
        <v>110</v>
      </c>
      <c r="BA18" s="76">
        <v>1713526570001</v>
      </c>
      <c r="BB18" s="21">
        <v>1.55</v>
      </c>
      <c r="BC18" s="21">
        <v>20.52</v>
      </c>
      <c r="BD18" s="20">
        <f t="shared" si="7"/>
        <v>2.4623999999999997</v>
      </c>
      <c r="BE18" s="20">
        <f t="shared" si="8"/>
        <v>24.532399999999999</v>
      </c>
    </row>
    <row r="19" spans="1:57">
      <c r="A19" s="53">
        <f t="shared" ref="A19:A34" si="13">+A18+1</f>
        <v>26</v>
      </c>
      <c r="B19" s="82">
        <v>42558</v>
      </c>
      <c r="C19" s="19">
        <v>73887</v>
      </c>
      <c r="D19" s="16" t="s">
        <v>141</v>
      </c>
      <c r="E19" s="40">
        <v>1790710319001</v>
      </c>
      <c r="F19" s="20">
        <v>5.56</v>
      </c>
      <c r="G19" s="42"/>
      <c r="H19" s="20">
        <f t="shared" si="0"/>
        <v>0</v>
      </c>
      <c r="I19" s="20">
        <f t="shared" si="1"/>
        <v>5.56</v>
      </c>
      <c r="J19" s="42"/>
      <c r="K19" s="171"/>
      <c r="L19" s="42"/>
      <c r="M19" s="98" t="e">
        <f t="shared" si="2"/>
        <v>#VALUE!</v>
      </c>
      <c r="N19" s="82">
        <v>42144</v>
      </c>
      <c r="O19" s="19">
        <v>5178</v>
      </c>
      <c r="P19" s="16" t="s">
        <v>146</v>
      </c>
      <c r="Q19" s="31">
        <v>1708537806001</v>
      </c>
      <c r="R19" s="20">
        <v>9</v>
      </c>
      <c r="S19" s="20"/>
      <c r="T19" s="20">
        <f t="shared" si="3"/>
        <v>0</v>
      </c>
      <c r="U19" s="20">
        <f t="shared" si="4"/>
        <v>9</v>
      </c>
      <c r="V19" s="42">
        <v>9</v>
      </c>
      <c r="W19" s="171">
        <v>1</v>
      </c>
      <c r="X19" s="42"/>
      <c r="Y19" s="53">
        <v>27</v>
      </c>
      <c r="Z19" s="82">
        <v>42339</v>
      </c>
      <c r="AA19" s="16">
        <v>144272</v>
      </c>
      <c r="AB19" s="16" t="s">
        <v>123</v>
      </c>
      <c r="AC19" s="31">
        <v>1790102327001</v>
      </c>
      <c r="AD19" s="20">
        <v>368.64</v>
      </c>
      <c r="AE19" s="20"/>
      <c r="AF19" s="20">
        <f t="shared" si="5"/>
        <v>0</v>
      </c>
      <c r="AG19" s="20">
        <f t="shared" si="11"/>
        <v>368.64</v>
      </c>
      <c r="AH19" s="42">
        <v>1535.16</v>
      </c>
      <c r="AI19" s="171">
        <v>8</v>
      </c>
      <c r="AJ19" s="42"/>
      <c r="AK19" s="53">
        <v>15</v>
      </c>
      <c r="AL19" s="108">
        <v>42361</v>
      </c>
      <c r="AM19" s="19">
        <v>1521328</v>
      </c>
      <c r="AN19" s="31">
        <v>1768154260001</v>
      </c>
      <c r="AO19" s="16" t="s">
        <v>120</v>
      </c>
      <c r="AP19" s="27">
        <v>2.17</v>
      </c>
      <c r="AQ19" s="27"/>
      <c r="AR19" s="27">
        <f t="shared" si="6"/>
        <v>0</v>
      </c>
      <c r="AS19" s="27">
        <f t="shared" si="12"/>
        <v>2.17</v>
      </c>
      <c r="AT19" s="87">
        <v>366.84</v>
      </c>
      <c r="AU19" s="87">
        <v>14</v>
      </c>
      <c r="AV19" s="87"/>
      <c r="AW19" s="94">
        <v>18</v>
      </c>
      <c r="AX19" s="85">
        <v>42094</v>
      </c>
      <c r="AY19" s="19">
        <v>27250</v>
      </c>
      <c r="AZ19" s="19" t="s">
        <v>110</v>
      </c>
      <c r="BA19" s="76">
        <v>1713526570001</v>
      </c>
      <c r="BB19" s="21">
        <v>2.1</v>
      </c>
      <c r="BC19" s="21">
        <v>0.48</v>
      </c>
      <c r="BD19" s="20">
        <f t="shared" si="7"/>
        <v>5.7599999999999998E-2</v>
      </c>
      <c r="BE19" s="20">
        <f t="shared" si="8"/>
        <v>2.6375999999999999</v>
      </c>
    </row>
    <row r="20" spans="1:57">
      <c r="A20" s="53">
        <f t="shared" si="13"/>
        <v>27</v>
      </c>
      <c r="B20" s="82">
        <v>42198</v>
      </c>
      <c r="C20" s="19">
        <v>157505</v>
      </c>
      <c r="D20" s="16" t="s">
        <v>141</v>
      </c>
      <c r="E20" s="40">
        <v>1790710319001</v>
      </c>
      <c r="F20" s="20">
        <v>6.29</v>
      </c>
      <c r="G20" s="20"/>
      <c r="H20" s="20">
        <f t="shared" si="0"/>
        <v>0</v>
      </c>
      <c r="I20" s="20">
        <f t="shared" si="1"/>
        <v>6.29</v>
      </c>
      <c r="J20" s="42"/>
      <c r="K20" s="171"/>
      <c r="L20" s="42"/>
      <c r="M20" s="53" t="e">
        <f t="shared" si="2"/>
        <v>#VALUE!</v>
      </c>
      <c r="N20" s="82">
        <v>42364</v>
      </c>
      <c r="O20" s="19">
        <v>24631</v>
      </c>
      <c r="P20" s="16" t="s">
        <v>179</v>
      </c>
      <c r="Q20" s="31">
        <v>1717734410001</v>
      </c>
      <c r="R20" s="20"/>
      <c r="S20" s="20">
        <v>33.03</v>
      </c>
      <c r="T20" s="21">
        <f t="shared" si="3"/>
        <v>3.9636</v>
      </c>
      <c r="U20" s="21">
        <f t="shared" si="4"/>
        <v>36.993600000000001</v>
      </c>
      <c r="V20" s="42">
        <v>33.03</v>
      </c>
      <c r="W20" s="171">
        <v>1</v>
      </c>
      <c r="X20" s="42"/>
      <c r="Y20" s="53">
        <v>23</v>
      </c>
      <c r="Z20" s="82">
        <v>42281</v>
      </c>
      <c r="AA20" s="16">
        <v>54790</v>
      </c>
      <c r="AB20" s="16" t="s">
        <v>190</v>
      </c>
      <c r="AC20" s="31">
        <v>1791188861001</v>
      </c>
      <c r="AD20" s="65">
        <v>693</v>
      </c>
      <c r="AE20" s="20"/>
      <c r="AF20" s="20">
        <f t="shared" si="5"/>
        <v>0</v>
      </c>
      <c r="AG20" s="20">
        <f t="shared" si="11"/>
        <v>693</v>
      </c>
      <c r="AH20" s="42">
        <v>693</v>
      </c>
      <c r="AI20" s="171">
        <v>1</v>
      </c>
      <c r="AJ20" s="42"/>
      <c r="AK20" s="53">
        <v>16</v>
      </c>
      <c r="AL20" s="108">
        <v>42011</v>
      </c>
      <c r="AM20" s="19">
        <v>125692</v>
      </c>
      <c r="AN20" s="31">
        <v>1790053881001</v>
      </c>
      <c r="AO20" s="16" t="s">
        <v>117</v>
      </c>
      <c r="AP20" s="27">
        <v>18.899999999999999</v>
      </c>
      <c r="AQ20" s="27"/>
      <c r="AR20" s="20">
        <f t="shared" si="6"/>
        <v>0</v>
      </c>
      <c r="AS20" s="20">
        <f t="shared" si="12"/>
        <v>18.899999999999999</v>
      </c>
      <c r="AT20" s="42"/>
      <c r="AU20" s="42"/>
      <c r="AV20" s="42"/>
      <c r="AW20" s="53">
        <v>19</v>
      </c>
      <c r="AX20" s="85">
        <v>42101</v>
      </c>
      <c r="AY20" s="19">
        <v>28593</v>
      </c>
      <c r="AZ20" s="19" t="s">
        <v>110</v>
      </c>
      <c r="BA20" s="76">
        <v>1713526570001</v>
      </c>
      <c r="BB20" s="21">
        <v>1.75</v>
      </c>
      <c r="BC20" s="21"/>
      <c r="BD20" s="20">
        <f t="shared" si="7"/>
        <v>0</v>
      </c>
      <c r="BE20" s="20">
        <f t="shared" si="8"/>
        <v>1.75</v>
      </c>
    </row>
    <row r="21" spans="1:57">
      <c r="A21" s="53">
        <f t="shared" si="13"/>
        <v>28</v>
      </c>
      <c r="B21" s="82">
        <v>42206</v>
      </c>
      <c r="C21" s="19">
        <v>71384</v>
      </c>
      <c r="D21" s="16" t="s">
        <v>141</v>
      </c>
      <c r="E21" s="40">
        <v>1790710319001</v>
      </c>
      <c r="F21" s="20">
        <v>4.05</v>
      </c>
      <c r="G21" s="20"/>
      <c r="H21" s="20">
        <f t="shared" si="0"/>
        <v>0</v>
      </c>
      <c r="I21" s="20">
        <f t="shared" si="1"/>
        <v>4.05</v>
      </c>
      <c r="J21" s="42"/>
      <c r="K21" s="171"/>
      <c r="L21" s="42"/>
      <c r="M21" s="98" t="e">
        <f t="shared" si="2"/>
        <v>#VALUE!</v>
      </c>
      <c r="N21" s="82">
        <v>42091</v>
      </c>
      <c r="O21" s="19">
        <v>22644</v>
      </c>
      <c r="P21" s="16" t="s">
        <v>132</v>
      </c>
      <c r="Q21" s="31">
        <v>1721012381001</v>
      </c>
      <c r="R21" s="20"/>
      <c r="S21" s="20">
        <v>89.9</v>
      </c>
      <c r="T21" s="20">
        <f t="shared" si="3"/>
        <v>10.788</v>
      </c>
      <c r="U21" s="20">
        <f t="shared" si="4"/>
        <v>100.688</v>
      </c>
      <c r="V21" s="42"/>
      <c r="W21" s="171"/>
      <c r="X21" s="42"/>
      <c r="Y21" s="53">
        <f>+Y20+1</f>
        <v>24</v>
      </c>
      <c r="Z21" s="82">
        <v>42024</v>
      </c>
      <c r="AA21" s="19">
        <v>35146</v>
      </c>
      <c r="AB21" s="16" t="s">
        <v>122</v>
      </c>
      <c r="AC21" s="31">
        <v>1791408276001</v>
      </c>
      <c r="AD21" s="20">
        <v>9</v>
      </c>
      <c r="AE21" s="20"/>
      <c r="AF21" s="20">
        <f t="shared" si="5"/>
        <v>0</v>
      </c>
      <c r="AG21" s="20">
        <f t="shared" si="11"/>
        <v>9</v>
      </c>
      <c r="AH21" s="42">
        <v>9</v>
      </c>
      <c r="AI21" s="171">
        <v>1</v>
      </c>
      <c r="AJ21" s="42"/>
      <c r="AK21" s="53">
        <v>17</v>
      </c>
      <c r="AL21" s="108">
        <v>42012</v>
      </c>
      <c r="AM21" s="19">
        <v>127659</v>
      </c>
      <c r="AN21" s="31">
        <v>1790053881001</v>
      </c>
      <c r="AO21" s="16" t="s">
        <v>117</v>
      </c>
      <c r="AP21" s="27">
        <v>28.16</v>
      </c>
      <c r="AQ21" s="27"/>
      <c r="AR21" s="20">
        <f t="shared" si="6"/>
        <v>0</v>
      </c>
      <c r="AS21" s="20">
        <f t="shared" si="12"/>
        <v>28.16</v>
      </c>
      <c r="AT21" s="87"/>
      <c r="AU21" s="87"/>
      <c r="AV21" s="87"/>
      <c r="AW21" s="53">
        <v>20</v>
      </c>
      <c r="AX21" s="85">
        <v>42083</v>
      </c>
      <c r="AY21" s="19">
        <v>25337</v>
      </c>
      <c r="AZ21" s="19" t="s">
        <v>110</v>
      </c>
      <c r="BA21" s="76">
        <v>1713526570001</v>
      </c>
      <c r="BB21" s="21">
        <v>2.1</v>
      </c>
      <c r="BC21" s="21"/>
      <c r="BD21" s="20">
        <f t="shared" si="7"/>
        <v>0</v>
      </c>
      <c r="BE21" s="20">
        <f t="shared" si="8"/>
        <v>2.1</v>
      </c>
    </row>
    <row r="22" spans="1:57">
      <c r="A22" s="53">
        <f t="shared" si="13"/>
        <v>29</v>
      </c>
      <c r="B22" s="82">
        <v>42212</v>
      </c>
      <c r="C22" s="19">
        <v>92133</v>
      </c>
      <c r="D22" s="16" t="s">
        <v>141</v>
      </c>
      <c r="E22" s="40">
        <v>1790710319001</v>
      </c>
      <c r="F22" s="20">
        <v>12.76</v>
      </c>
      <c r="G22" s="20"/>
      <c r="H22" s="20">
        <f t="shared" si="0"/>
        <v>0</v>
      </c>
      <c r="I22" s="20">
        <f t="shared" si="1"/>
        <v>12.76</v>
      </c>
      <c r="J22" s="42"/>
      <c r="K22" s="171"/>
      <c r="L22" s="42"/>
      <c r="M22" s="98" t="e">
        <f t="shared" si="2"/>
        <v>#VALUE!</v>
      </c>
      <c r="N22" s="82">
        <v>42102</v>
      </c>
      <c r="O22" s="19">
        <v>22839</v>
      </c>
      <c r="P22" s="16" t="s">
        <v>132</v>
      </c>
      <c r="Q22" s="31">
        <v>1721012381001</v>
      </c>
      <c r="R22" s="20"/>
      <c r="S22" s="20">
        <v>160.03</v>
      </c>
      <c r="T22" s="20">
        <f t="shared" si="3"/>
        <v>19.203599999999998</v>
      </c>
      <c r="U22" s="20">
        <f t="shared" si="4"/>
        <v>179.2336</v>
      </c>
      <c r="V22" s="42"/>
      <c r="W22" s="171"/>
      <c r="X22" s="42"/>
      <c r="Y22" s="53">
        <v>15</v>
      </c>
      <c r="Z22" s="82">
        <v>42227</v>
      </c>
      <c r="AA22" s="19">
        <v>68709</v>
      </c>
      <c r="AB22" s="16" t="s">
        <v>90</v>
      </c>
      <c r="AC22" s="31">
        <v>1791881826001</v>
      </c>
      <c r="AD22" s="20">
        <v>66.5</v>
      </c>
      <c r="AE22" s="20"/>
      <c r="AF22" s="20">
        <f t="shared" si="5"/>
        <v>0</v>
      </c>
      <c r="AG22" s="20">
        <f t="shared" si="11"/>
        <v>66.5</v>
      </c>
      <c r="AH22" s="42">
        <v>66.5</v>
      </c>
      <c r="AI22" s="171">
        <v>1</v>
      </c>
      <c r="AJ22" s="42"/>
      <c r="AK22" s="53">
        <v>18</v>
      </c>
      <c r="AL22" s="108">
        <v>42011</v>
      </c>
      <c r="AM22" s="19">
        <v>36946</v>
      </c>
      <c r="AN22" s="31">
        <v>1790053881001</v>
      </c>
      <c r="AO22" s="16" t="s">
        <v>117</v>
      </c>
      <c r="AP22" s="27">
        <v>33.31</v>
      </c>
      <c r="AQ22" s="27"/>
      <c r="AR22" s="20">
        <f t="shared" si="6"/>
        <v>0</v>
      </c>
      <c r="AS22" s="20">
        <f t="shared" si="12"/>
        <v>33.31</v>
      </c>
      <c r="AT22" s="87"/>
      <c r="AU22" s="87"/>
      <c r="AV22" s="87"/>
      <c r="AW22" s="53">
        <v>21</v>
      </c>
      <c r="AX22" s="85">
        <v>42108</v>
      </c>
      <c r="AY22" s="19">
        <v>29292</v>
      </c>
      <c r="AZ22" s="19" t="s">
        <v>110</v>
      </c>
      <c r="BA22" s="76">
        <v>1713526570001</v>
      </c>
      <c r="BB22" s="21">
        <v>2.0499999999999998</v>
      </c>
      <c r="BC22" s="21">
        <v>19.16</v>
      </c>
      <c r="BD22" s="20">
        <f t="shared" si="7"/>
        <v>2.2991999999999999</v>
      </c>
      <c r="BE22" s="20">
        <f t="shared" si="8"/>
        <v>23.5092</v>
      </c>
    </row>
    <row r="23" spans="1:57">
      <c r="A23" s="53">
        <f t="shared" si="13"/>
        <v>30</v>
      </c>
      <c r="B23" s="82">
        <v>42168</v>
      </c>
      <c r="C23" s="19">
        <v>11169</v>
      </c>
      <c r="D23" s="16" t="s">
        <v>141</v>
      </c>
      <c r="E23" s="40">
        <v>1790710319001</v>
      </c>
      <c r="F23" s="20">
        <v>7.1</v>
      </c>
      <c r="G23" s="20"/>
      <c r="H23" s="20">
        <f t="shared" si="0"/>
        <v>0</v>
      </c>
      <c r="I23" s="20">
        <f t="shared" si="1"/>
        <v>7.1</v>
      </c>
      <c r="J23" s="42"/>
      <c r="K23" s="171"/>
      <c r="L23" s="42"/>
      <c r="M23" s="98" t="e">
        <f t="shared" si="2"/>
        <v>#VALUE!</v>
      </c>
      <c r="N23" s="82">
        <v>42137</v>
      </c>
      <c r="O23" s="19">
        <v>23904</v>
      </c>
      <c r="P23" s="16" t="s">
        <v>145</v>
      </c>
      <c r="Q23" s="31">
        <v>1721012381001</v>
      </c>
      <c r="R23" s="20"/>
      <c r="S23" s="20">
        <v>27.6</v>
      </c>
      <c r="T23" s="20">
        <f t="shared" si="3"/>
        <v>3.3119999999999998</v>
      </c>
      <c r="U23" s="20">
        <f t="shared" si="4"/>
        <v>30.912000000000003</v>
      </c>
      <c r="V23" s="42">
        <v>277.52999999999997</v>
      </c>
      <c r="W23" s="171">
        <v>3</v>
      </c>
      <c r="X23" s="42"/>
      <c r="Y23" s="53">
        <v>20</v>
      </c>
      <c r="Z23" s="82">
        <v>42263</v>
      </c>
      <c r="AA23" s="19">
        <v>1762</v>
      </c>
      <c r="AB23" s="16" t="s">
        <v>187</v>
      </c>
      <c r="AC23" s="31">
        <v>1791995341001</v>
      </c>
      <c r="AD23" s="20">
        <v>7.66</v>
      </c>
      <c r="AE23" s="20"/>
      <c r="AF23" s="20">
        <f t="shared" si="5"/>
        <v>0</v>
      </c>
      <c r="AG23" s="20">
        <f t="shared" si="11"/>
        <v>7.66</v>
      </c>
      <c r="AH23" s="42">
        <v>7.66</v>
      </c>
      <c r="AI23" s="171">
        <v>1</v>
      </c>
      <c r="AJ23" s="42"/>
      <c r="AK23" s="53">
        <v>19</v>
      </c>
      <c r="AL23" s="108">
        <v>42040</v>
      </c>
      <c r="AM23" s="29">
        <v>406518</v>
      </c>
      <c r="AN23" s="31">
        <v>1790053881001</v>
      </c>
      <c r="AO23" s="16" t="s">
        <v>117</v>
      </c>
      <c r="AP23" s="25">
        <v>32.630000000000003</v>
      </c>
      <c r="AQ23" s="26"/>
      <c r="AR23" s="27">
        <f t="shared" si="6"/>
        <v>0</v>
      </c>
      <c r="AS23" s="27">
        <f t="shared" ref="AS23:AS28" si="14">AP23+AQ23+AR23</f>
        <v>32.630000000000003</v>
      </c>
      <c r="AT23" s="87"/>
      <c r="AU23" s="87"/>
      <c r="AV23" s="87"/>
      <c r="AW23" s="53">
        <v>22</v>
      </c>
      <c r="AX23" s="85">
        <v>42115</v>
      </c>
      <c r="AY23" s="19">
        <v>31027</v>
      </c>
      <c r="AZ23" s="19" t="s">
        <v>110</v>
      </c>
      <c r="BA23" s="76">
        <v>1713526570001</v>
      </c>
      <c r="BB23" s="21">
        <v>4.2</v>
      </c>
      <c r="BC23" s="21"/>
      <c r="BD23" s="20">
        <f t="shared" si="7"/>
        <v>0</v>
      </c>
      <c r="BE23" s="20">
        <f t="shared" si="8"/>
        <v>4.2</v>
      </c>
    </row>
    <row r="24" spans="1:57">
      <c r="A24" s="53">
        <f t="shared" si="13"/>
        <v>31</v>
      </c>
      <c r="B24" s="82">
        <v>42246</v>
      </c>
      <c r="C24" s="19">
        <v>89253</v>
      </c>
      <c r="D24" s="16" t="s">
        <v>141</v>
      </c>
      <c r="E24" s="40">
        <v>1790710319001</v>
      </c>
      <c r="F24" s="20">
        <v>3.31</v>
      </c>
      <c r="G24" s="20"/>
      <c r="H24" s="20">
        <f t="shared" si="0"/>
        <v>0</v>
      </c>
      <c r="I24" s="20">
        <f t="shared" si="1"/>
        <v>3.31</v>
      </c>
      <c r="J24" s="42"/>
      <c r="K24" s="171"/>
      <c r="L24" s="42"/>
      <c r="M24" s="53">
        <v>1</v>
      </c>
      <c r="N24" s="82">
        <v>42011</v>
      </c>
      <c r="O24" s="19">
        <v>380631</v>
      </c>
      <c r="P24" s="16" t="s">
        <v>126</v>
      </c>
      <c r="Q24" s="31">
        <v>1721272985001</v>
      </c>
      <c r="R24" s="20"/>
      <c r="S24" s="20">
        <v>31.61</v>
      </c>
      <c r="T24" s="20">
        <f t="shared" si="3"/>
        <v>3.7931999999999997</v>
      </c>
      <c r="U24" s="20">
        <f t="shared" si="4"/>
        <v>35.403199999999998</v>
      </c>
      <c r="V24" s="42"/>
      <c r="W24" s="171"/>
      <c r="X24" s="42"/>
      <c r="Y24" s="53">
        <f>+Y23+1</f>
        <v>21</v>
      </c>
      <c r="Z24" s="82">
        <v>42104</v>
      </c>
      <c r="AA24" s="19">
        <v>323</v>
      </c>
      <c r="AB24" s="16" t="s">
        <v>125</v>
      </c>
      <c r="AC24" s="31">
        <v>1792449456001</v>
      </c>
      <c r="AD24" s="20">
        <v>50</v>
      </c>
      <c r="AE24" s="21"/>
      <c r="AF24" s="20">
        <f t="shared" si="5"/>
        <v>0</v>
      </c>
      <c r="AG24" s="20">
        <f t="shared" si="11"/>
        <v>50</v>
      </c>
      <c r="AH24" s="42"/>
      <c r="AI24" s="171"/>
      <c r="AJ24" s="42"/>
      <c r="AK24" s="53">
        <v>20</v>
      </c>
      <c r="AL24" s="108">
        <v>42040</v>
      </c>
      <c r="AM24" s="29">
        <v>833881</v>
      </c>
      <c r="AN24" s="31">
        <v>1790053881001</v>
      </c>
      <c r="AO24" s="16" t="s">
        <v>117</v>
      </c>
      <c r="AP24" s="25">
        <v>19.37</v>
      </c>
      <c r="AQ24" s="25"/>
      <c r="AR24" s="27">
        <f t="shared" si="6"/>
        <v>0</v>
      </c>
      <c r="AS24" s="27">
        <f t="shared" si="14"/>
        <v>19.37</v>
      </c>
      <c r="AT24" s="87"/>
      <c r="AU24" s="87"/>
      <c r="AV24" s="87"/>
      <c r="AW24" s="53">
        <v>23</v>
      </c>
      <c r="AX24" s="85">
        <v>42122</v>
      </c>
      <c r="AY24" s="19">
        <v>32517</v>
      </c>
      <c r="AZ24" s="19" t="s">
        <v>110</v>
      </c>
      <c r="BA24" s="76">
        <v>1713526570001</v>
      </c>
      <c r="BB24" s="21">
        <v>1.8</v>
      </c>
      <c r="BC24" s="21"/>
      <c r="BD24" s="20">
        <f t="shared" si="7"/>
        <v>0</v>
      </c>
      <c r="BE24" s="20">
        <f t="shared" si="8"/>
        <v>1.8</v>
      </c>
    </row>
    <row r="25" spans="1:57">
      <c r="A25" s="53">
        <f t="shared" si="13"/>
        <v>32</v>
      </c>
      <c r="B25" s="82">
        <v>42246</v>
      </c>
      <c r="C25" s="57">
        <v>210758</v>
      </c>
      <c r="D25" s="16" t="s">
        <v>141</v>
      </c>
      <c r="E25" s="40">
        <v>1790710319001</v>
      </c>
      <c r="F25" s="20">
        <v>3.81</v>
      </c>
      <c r="G25" s="20"/>
      <c r="H25" s="20">
        <f t="shared" si="0"/>
        <v>0</v>
      </c>
      <c r="I25" s="20">
        <f t="shared" si="1"/>
        <v>3.81</v>
      </c>
      <c r="J25" s="42"/>
      <c r="K25" s="171"/>
      <c r="L25" s="42"/>
      <c r="M25" s="53">
        <v>2</v>
      </c>
      <c r="N25" s="82">
        <v>42031</v>
      </c>
      <c r="O25" s="19">
        <v>380632</v>
      </c>
      <c r="P25" s="16" t="s">
        <v>126</v>
      </c>
      <c r="Q25" s="31">
        <v>1721272985001</v>
      </c>
      <c r="R25" s="20"/>
      <c r="S25" s="20">
        <v>16.7</v>
      </c>
      <c r="T25" s="21">
        <f t="shared" si="3"/>
        <v>2.004</v>
      </c>
      <c r="U25" s="21">
        <f t="shared" si="4"/>
        <v>18.704000000000001</v>
      </c>
      <c r="V25" s="42"/>
      <c r="W25" s="171"/>
      <c r="X25" s="42"/>
      <c r="Y25" s="53">
        <f>+Y24+1</f>
        <v>22</v>
      </c>
      <c r="Z25" s="166">
        <v>42128</v>
      </c>
      <c r="AA25" s="62">
        <v>791</v>
      </c>
      <c r="AB25" s="41" t="s">
        <v>125</v>
      </c>
      <c r="AC25" s="167">
        <v>1792449456001</v>
      </c>
      <c r="AD25" s="42">
        <v>50</v>
      </c>
      <c r="AE25" s="20"/>
      <c r="AF25" s="20">
        <f t="shared" si="5"/>
        <v>0</v>
      </c>
      <c r="AG25" s="20">
        <f t="shared" si="11"/>
        <v>50</v>
      </c>
      <c r="AH25" s="42"/>
      <c r="AI25" s="171"/>
      <c r="AJ25" s="42"/>
      <c r="AK25" s="53">
        <v>21</v>
      </c>
      <c r="AL25" s="108">
        <v>42068</v>
      </c>
      <c r="AM25" s="29">
        <v>722489</v>
      </c>
      <c r="AN25" s="31">
        <v>1790053881001</v>
      </c>
      <c r="AO25" s="16" t="s">
        <v>117</v>
      </c>
      <c r="AP25" s="28">
        <v>28.33</v>
      </c>
      <c r="AQ25" s="28"/>
      <c r="AR25" s="27">
        <f t="shared" si="6"/>
        <v>0</v>
      </c>
      <c r="AS25" s="27">
        <f t="shared" si="14"/>
        <v>28.33</v>
      </c>
      <c r="AT25" s="87"/>
      <c r="AU25" s="87"/>
      <c r="AV25" s="87"/>
      <c r="AW25" s="53">
        <v>24</v>
      </c>
      <c r="AX25" s="85">
        <v>42142</v>
      </c>
      <c r="AY25" s="19">
        <v>36572</v>
      </c>
      <c r="AZ25" s="19" t="s">
        <v>110</v>
      </c>
      <c r="BA25" s="76">
        <v>1713526570001</v>
      </c>
      <c r="BB25" s="21">
        <v>2</v>
      </c>
      <c r="BC25" s="21"/>
      <c r="BD25" s="20">
        <f t="shared" si="7"/>
        <v>0</v>
      </c>
      <c r="BE25" s="20">
        <f t="shared" si="8"/>
        <v>2</v>
      </c>
    </row>
    <row r="26" spans="1:57">
      <c r="A26" s="53">
        <f t="shared" si="13"/>
        <v>33</v>
      </c>
      <c r="B26" s="82">
        <v>42255</v>
      </c>
      <c r="C26" s="19">
        <v>112526</v>
      </c>
      <c r="D26" s="16" t="s">
        <v>141</v>
      </c>
      <c r="E26" s="40">
        <v>1790710319001</v>
      </c>
      <c r="F26" s="20">
        <v>2.72</v>
      </c>
      <c r="G26" s="20"/>
      <c r="H26" s="20">
        <f t="shared" si="0"/>
        <v>0</v>
      </c>
      <c r="I26" s="20">
        <f t="shared" si="1"/>
        <v>2.72</v>
      </c>
      <c r="J26" s="42"/>
      <c r="K26" s="171"/>
      <c r="L26" s="42"/>
      <c r="M26" s="53">
        <f t="shared" ref="M26:M57" si="15">+M25+1</f>
        <v>3</v>
      </c>
      <c r="N26" s="82">
        <v>42029</v>
      </c>
      <c r="O26" s="19">
        <v>380633</v>
      </c>
      <c r="P26" s="16" t="s">
        <v>126</v>
      </c>
      <c r="Q26" s="31">
        <v>1721272985001</v>
      </c>
      <c r="R26" s="20"/>
      <c r="S26" s="20">
        <v>6.79</v>
      </c>
      <c r="T26" s="20">
        <f t="shared" si="3"/>
        <v>0.81479999999999997</v>
      </c>
      <c r="U26" s="20">
        <f t="shared" si="4"/>
        <v>7.6048</v>
      </c>
      <c r="V26" s="42"/>
      <c r="W26" s="171"/>
      <c r="X26" s="42"/>
      <c r="Y26" s="53">
        <v>12</v>
      </c>
      <c r="Z26" s="82">
        <v>42163</v>
      </c>
      <c r="AA26" s="19">
        <v>1776</v>
      </c>
      <c r="AB26" s="16" t="s">
        <v>125</v>
      </c>
      <c r="AC26" s="31">
        <v>1792449456001</v>
      </c>
      <c r="AD26" s="20">
        <v>50</v>
      </c>
      <c r="AE26" s="20"/>
      <c r="AF26" s="20">
        <f t="shared" si="5"/>
        <v>0</v>
      </c>
      <c r="AG26" s="20">
        <f t="shared" si="11"/>
        <v>50</v>
      </c>
      <c r="AH26" s="42"/>
      <c r="AI26" s="171"/>
      <c r="AJ26" s="42"/>
      <c r="AK26" s="53">
        <v>22</v>
      </c>
      <c r="AL26" s="108">
        <v>42069</v>
      </c>
      <c r="AM26" s="29">
        <v>1508911</v>
      </c>
      <c r="AN26" s="31">
        <v>1790053881001</v>
      </c>
      <c r="AO26" s="16" t="s">
        <v>117</v>
      </c>
      <c r="AP26" s="28">
        <v>26.11</v>
      </c>
      <c r="AQ26" s="28"/>
      <c r="AR26" s="27">
        <f t="shared" si="6"/>
        <v>0</v>
      </c>
      <c r="AS26" s="27">
        <f t="shared" si="14"/>
        <v>26.11</v>
      </c>
      <c r="AT26" s="87"/>
      <c r="AU26" s="87"/>
      <c r="AV26" s="87"/>
      <c r="AW26" s="53">
        <v>25</v>
      </c>
      <c r="AX26" s="85">
        <v>42152</v>
      </c>
      <c r="AY26" s="19">
        <v>32468</v>
      </c>
      <c r="AZ26" s="19" t="s">
        <v>110</v>
      </c>
      <c r="BA26" s="76">
        <v>1713526570001</v>
      </c>
      <c r="BB26" s="21">
        <v>1.95</v>
      </c>
      <c r="BC26" s="21">
        <v>5.05</v>
      </c>
      <c r="BD26" s="20">
        <f t="shared" si="7"/>
        <v>0.60599999999999998</v>
      </c>
      <c r="BE26" s="20">
        <f t="shared" si="8"/>
        <v>7.6059999999999999</v>
      </c>
    </row>
    <row r="27" spans="1:57">
      <c r="A27" s="53">
        <f t="shared" si="13"/>
        <v>34</v>
      </c>
      <c r="B27" s="82">
        <v>42275</v>
      </c>
      <c r="C27" s="19">
        <v>261821</v>
      </c>
      <c r="D27" s="16" t="s">
        <v>141</v>
      </c>
      <c r="E27" s="40">
        <v>1790710319001</v>
      </c>
      <c r="F27" s="20">
        <v>13.17</v>
      </c>
      <c r="G27" s="20"/>
      <c r="H27" s="20">
        <f t="shared" si="0"/>
        <v>0</v>
      </c>
      <c r="I27" s="20">
        <f t="shared" si="1"/>
        <v>13.17</v>
      </c>
      <c r="J27" s="42"/>
      <c r="K27" s="171"/>
      <c r="L27" s="42"/>
      <c r="M27" s="53">
        <f t="shared" si="15"/>
        <v>4</v>
      </c>
      <c r="N27" s="82">
        <v>42086</v>
      </c>
      <c r="O27" s="19">
        <v>401601</v>
      </c>
      <c r="P27" s="16" t="s">
        <v>126</v>
      </c>
      <c r="Q27" s="31">
        <v>1721272985001</v>
      </c>
      <c r="R27" s="20"/>
      <c r="S27" s="20">
        <v>26.89</v>
      </c>
      <c r="T27" s="20">
        <f t="shared" si="3"/>
        <v>3.2267999999999999</v>
      </c>
      <c r="U27" s="20">
        <f t="shared" si="4"/>
        <v>30.116800000000001</v>
      </c>
      <c r="V27" s="42"/>
      <c r="W27" s="171"/>
      <c r="X27" s="42"/>
      <c r="Y27" s="53">
        <v>28</v>
      </c>
      <c r="Z27" s="82">
        <v>42233</v>
      </c>
      <c r="AA27" s="16">
        <v>2542</v>
      </c>
      <c r="AB27" s="16" t="s">
        <v>125</v>
      </c>
      <c r="AC27" s="31">
        <v>1792449456001</v>
      </c>
      <c r="AD27" s="20">
        <v>56.11</v>
      </c>
      <c r="AE27" s="20"/>
      <c r="AF27" s="20">
        <f t="shared" si="5"/>
        <v>0</v>
      </c>
      <c r="AG27" s="20">
        <f t="shared" si="11"/>
        <v>56.11</v>
      </c>
      <c r="AH27" s="88"/>
      <c r="AI27" s="172"/>
      <c r="AJ27" s="88"/>
      <c r="AK27" s="53">
        <v>23</v>
      </c>
      <c r="AL27" s="108">
        <v>42101</v>
      </c>
      <c r="AM27" s="19">
        <v>2186059</v>
      </c>
      <c r="AN27" s="31">
        <v>1790053881001</v>
      </c>
      <c r="AO27" s="16" t="s">
        <v>117</v>
      </c>
      <c r="AP27" s="16">
        <v>25.64</v>
      </c>
      <c r="AQ27" s="20"/>
      <c r="AR27" s="20">
        <f t="shared" si="6"/>
        <v>0</v>
      </c>
      <c r="AS27" s="27">
        <f t="shared" si="14"/>
        <v>25.64</v>
      </c>
      <c r="AT27" s="87"/>
      <c r="AU27" s="87"/>
      <c r="AV27" s="87"/>
      <c r="AW27" s="53">
        <v>26</v>
      </c>
      <c r="AX27" s="85">
        <v>42146</v>
      </c>
      <c r="AY27" s="19">
        <v>37126</v>
      </c>
      <c r="AZ27" s="19" t="s">
        <v>191</v>
      </c>
      <c r="BA27" s="76">
        <v>1713526570001</v>
      </c>
      <c r="BB27" s="21">
        <v>1.6</v>
      </c>
      <c r="BC27" s="21"/>
      <c r="BD27" s="20">
        <f t="shared" si="7"/>
        <v>0</v>
      </c>
      <c r="BE27" s="20">
        <f t="shared" si="8"/>
        <v>1.6</v>
      </c>
    </row>
    <row r="28" spans="1:57">
      <c r="A28" s="53">
        <f t="shared" si="13"/>
        <v>35</v>
      </c>
      <c r="B28" s="82">
        <v>42227</v>
      </c>
      <c r="C28" s="19">
        <v>120564</v>
      </c>
      <c r="D28" s="16" t="s">
        <v>141</v>
      </c>
      <c r="E28" s="40">
        <v>1790710319001</v>
      </c>
      <c r="F28" s="20">
        <v>1.82</v>
      </c>
      <c r="G28" s="20"/>
      <c r="H28" s="20">
        <f t="shared" si="0"/>
        <v>0</v>
      </c>
      <c r="I28" s="20">
        <f t="shared" si="1"/>
        <v>1.82</v>
      </c>
      <c r="J28" s="42"/>
      <c r="K28" s="171"/>
      <c r="L28" s="42"/>
      <c r="M28" s="98">
        <f t="shared" si="15"/>
        <v>5</v>
      </c>
      <c r="N28" s="82">
        <v>42086</v>
      </c>
      <c r="O28" s="19">
        <v>401602</v>
      </c>
      <c r="P28" s="16" t="s">
        <v>126</v>
      </c>
      <c r="Q28" s="31">
        <v>1721272985001</v>
      </c>
      <c r="R28" s="20"/>
      <c r="S28" s="20">
        <v>20.190000000000001</v>
      </c>
      <c r="T28" s="20">
        <f t="shared" si="3"/>
        <v>2.4228000000000001</v>
      </c>
      <c r="U28" s="20">
        <f t="shared" si="4"/>
        <v>22.6128</v>
      </c>
      <c r="V28" s="42"/>
      <c r="W28" s="171"/>
      <c r="X28" s="42"/>
      <c r="Y28" s="53">
        <v>29</v>
      </c>
      <c r="Z28" s="82">
        <v>42272</v>
      </c>
      <c r="AA28" s="16">
        <v>3282</v>
      </c>
      <c r="AB28" s="16" t="s">
        <v>125</v>
      </c>
      <c r="AC28" s="31">
        <v>1792449456001</v>
      </c>
      <c r="AD28" s="20">
        <v>56.11</v>
      </c>
      <c r="AE28" s="20"/>
      <c r="AF28" s="20">
        <f t="shared" si="5"/>
        <v>0</v>
      </c>
      <c r="AG28" s="20">
        <f t="shared" si="11"/>
        <v>56.11</v>
      </c>
      <c r="AK28" s="53">
        <f>+AK27+1</f>
        <v>24</v>
      </c>
      <c r="AL28" s="108">
        <v>42131</v>
      </c>
      <c r="AM28" s="19">
        <v>2868103</v>
      </c>
      <c r="AN28" s="31">
        <v>1790053881001</v>
      </c>
      <c r="AO28" s="16" t="s">
        <v>117</v>
      </c>
      <c r="AP28" s="16">
        <v>26.36</v>
      </c>
      <c r="AQ28" s="20"/>
      <c r="AR28" s="20">
        <f t="shared" si="6"/>
        <v>0</v>
      </c>
      <c r="AS28" s="27">
        <f t="shared" si="14"/>
        <v>26.36</v>
      </c>
      <c r="AT28" s="87"/>
      <c r="AU28" s="87"/>
      <c r="AV28" s="87"/>
      <c r="AW28" s="53">
        <v>27</v>
      </c>
      <c r="AX28" s="85">
        <v>42171</v>
      </c>
      <c r="AY28" s="19">
        <v>41816</v>
      </c>
      <c r="AZ28" s="19" t="s">
        <v>191</v>
      </c>
      <c r="BA28" s="76">
        <v>1713526570001</v>
      </c>
      <c r="BB28" s="21">
        <v>1.75</v>
      </c>
      <c r="BC28" s="21">
        <v>6.92</v>
      </c>
      <c r="BD28" s="20">
        <f t="shared" si="7"/>
        <v>0.83039999999999992</v>
      </c>
      <c r="BE28" s="20">
        <f t="shared" si="8"/>
        <v>9.5003999999999991</v>
      </c>
    </row>
    <row r="29" spans="1:57">
      <c r="A29" s="53">
        <f t="shared" si="13"/>
        <v>36</v>
      </c>
      <c r="B29" s="82">
        <v>42304</v>
      </c>
      <c r="C29" s="19">
        <v>118450</v>
      </c>
      <c r="D29" s="16" t="s">
        <v>141</v>
      </c>
      <c r="E29" s="40">
        <v>1790710319001</v>
      </c>
      <c r="F29" s="20">
        <v>11.5</v>
      </c>
      <c r="G29" s="20"/>
      <c r="H29" s="20">
        <f t="shared" si="0"/>
        <v>0</v>
      </c>
      <c r="I29" s="20">
        <f t="shared" si="1"/>
        <v>11.5</v>
      </c>
      <c r="J29" s="42"/>
      <c r="K29" s="171"/>
      <c r="L29" s="42"/>
      <c r="M29" s="98">
        <f t="shared" si="15"/>
        <v>6</v>
      </c>
      <c r="N29" s="82">
        <v>42086</v>
      </c>
      <c r="O29" s="60">
        <v>401603</v>
      </c>
      <c r="P29" s="16" t="s">
        <v>126</v>
      </c>
      <c r="Q29" s="31">
        <v>1721272985001</v>
      </c>
      <c r="R29" s="20"/>
      <c r="S29" s="20">
        <v>35.020000000000003</v>
      </c>
      <c r="T29" s="20">
        <f t="shared" si="3"/>
        <v>4.2023999999999999</v>
      </c>
      <c r="U29" s="20">
        <f t="shared" si="4"/>
        <v>39.2224</v>
      </c>
      <c r="V29" s="42"/>
      <c r="W29" s="171"/>
      <c r="X29" s="42"/>
      <c r="Y29" s="53">
        <v>30</v>
      </c>
      <c r="Z29" s="82">
        <v>42293</v>
      </c>
      <c r="AA29" s="16">
        <v>3805</v>
      </c>
      <c r="AB29" s="16" t="s">
        <v>125</v>
      </c>
      <c r="AC29" s="31">
        <v>1792449456001</v>
      </c>
      <c r="AD29" s="20">
        <v>56.11</v>
      </c>
      <c r="AE29" s="20"/>
      <c r="AF29" s="20">
        <f t="shared" si="5"/>
        <v>0</v>
      </c>
      <c r="AG29" s="20">
        <f t="shared" si="11"/>
        <v>56.11</v>
      </c>
      <c r="AK29" s="53">
        <f t="shared" ref="AK29:AK38" si="16">+AK28+1</f>
        <v>25</v>
      </c>
      <c r="AL29" s="108">
        <v>42160</v>
      </c>
      <c r="AM29" s="19">
        <v>3548757</v>
      </c>
      <c r="AN29" s="31">
        <v>1790053881001</v>
      </c>
      <c r="AO29" s="16" t="s">
        <v>117</v>
      </c>
      <c r="AP29" s="27">
        <v>26.2</v>
      </c>
      <c r="AQ29" s="27"/>
      <c r="AR29" s="20">
        <f t="shared" si="6"/>
        <v>0</v>
      </c>
      <c r="AS29" s="20">
        <f t="shared" ref="AS29:AS38" si="17">+AP29+AQ29+AR29</f>
        <v>26.2</v>
      </c>
      <c r="AT29" s="87"/>
      <c r="AU29" s="87"/>
      <c r="AV29" s="87"/>
      <c r="AW29" s="53">
        <v>28</v>
      </c>
      <c r="AX29" s="85">
        <v>42069</v>
      </c>
      <c r="AY29" s="19">
        <v>39319</v>
      </c>
      <c r="AZ29" s="19" t="s">
        <v>191</v>
      </c>
      <c r="BA29" s="76">
        <v>1713526570001</v>
      </c>
      <c r="BB29" s="21">
        <v>1.4</v>
      </c>
      <c r="BC29" s="21"/>
      <c r="BD29" s="20">
        <f t="shared" si="7"/>
        <v>0</v>
      </c>
      <c r="BE29" s="20">
        <f t="shared" si="8"/>
        <v>1.4</v>
      </c>
    </row>
    <row r="30" spans="1:57">
      <c r="A30" s="53">
        <f t="shared" si="13"/>
        <v>37</v>
      </c>
      <c r="B30" s="82">
        <v>42315</v>
      </c>
      <c r="C30" s="19">
        <v>208410</v>
      </c>
      <c r="D30" s="16" t="s">
        <v>141</v>
      </c>
      <c r="E30" s="40">
        <v>1790710319001</v>
      </c>
      <c r="F30" s="20">
        <v>43.12</v>
      </c>
      <c r="G30" s="20"/>
      <c r="H30" s="20">
        <f t="shared" si="0"/>
        <v>0</v>
      </c>
      <c r="I30" s="20">
        <f t="shared" si="1"/>
        <v>43.12</v>
      </c>
      <c r="J30" s="42"/>
      <c r="K30" s="171"/>
      <c r="L30" s="42"/>
      <c r="M30" s="98">
        <f t="shared" si="15"/>
        <v>7</v>
      </c>
      <c r="N30" s="82">
        <v>42148</v>
      </c>
      <c r="O30" s="19">
        <v>429276</v>
      </c>
      <c r="P30" s="16" t="s">
        <v>126</v>
      </c>
      <c r="Q30" s="31">
        <v>1721272985001</v>
      </c>
      <c r="R30" s="20"/>
      <c r="S30" s="20">
        <v>56.61</v>
      </c>
      <c r="T30" s="20">
        <f t="shared" si="3"/>
        <v>6.7931999999999997</v>
      </c>
      <c r="U30" s="20">
        <f t="shared" si="4"/>
        <v>63.403199999999998</v>
      </c>
      <c r="V30" s="42"/>
      <c r="W30" s="171"/>
      <c r="X30" s="42"/>
      <c r="Y30" s="53">
        <v>31</v>
      </c>
      <c r="Z30" s="82">
        <v>42321</v>
      </c>
      <c r="AA30" s="16">
        <v>4569</v>
      </c>
      <c r="AB30" s="16" t="s">
        <v>125</v>
      </c>
      <c r="AC30" s="31">
        <v>1792449456001</v>
      </c>
      <c r="AD30" s="20">
        <v>56.11</v>
      </c>
      <c r="AE30" s="20"/>
      <c r="AF30" s="20">
        <f t="shared" si="5"/>
        <v>0</v>
      </c>
      <c r="AG30" s="20">
        <f t="shared" si="11"/>
        <v>56.11</v>
      </c>
      <c r="AK30" s="53">
        <f t="shared" si="16"/>
        <v>26</v>
      </c>
      <c r="AL30" s="108">
        <v>42194</v>
      </c>
      <c r="AM30" s="29">
        <v>4240796</v>
      </c>
      <c r="AN30" s="31">
        <v>1790053881001</v>
      </c>
      <c r="AO30" s="16" t="s">
        <v>117</v>
      </c>
      <c r="AP30" s="27">
        <v>28.3</v>
      </c>
      <c r="AQ30" s="25"/>
      <c r="AR30" s="27">
        <f t="shared" si="6"/>
        <v>0</v>
      </c>
      <c r="AS30" s="27">
        <f t="shared" si="17"/>
        <v>28.3</v>
      </c>
      <c r="AT30" s="87"/>
      <c r="AU30" s="87"/>
      <c r="AV30" s="87"/>
      <c r="AW30" s="53">
        <v>29</v>
      </c>
      <c r="AX30" s="85">
        <v>42218</v>
      </c>
      <c r="AY30" s="19">
        <v>39199</v>
      </c>
      <c r="AZ30" s="19" t="s">
        <v>191</v>
      </c>
      <c r="BA30" s="76">
        <v>1713526570001</v>
      </c>
      <c r="BB30" s="21">
        <v>1.75</v>
      </c>
      <c r="BC30" s="21">
        <v>4.0199999999999996</v>
      </c>
      <c r="BD30" s="20">
        <f t="shared" si="7"/>
        <v>0.48239999999999994</v>
      </c>
      <c r="BE30" s="20">
        <f t="shared" si="8"/>
        <v>6.2523999999999997</v>
      </c>
    </row>
    <row r="31" spans="1:57">
      <c r="A31" s="53">
        <f t="shared" si="13"/>
        <v>38</v>
      </c>
      <c r="B31" s="82">
        <v>42344</v>
      </c>
      <c r="C31" s="19">
        <v>333183</v>
      </c>
      <c r="D31" s="16" t="s">
        <v>141</v>
      </c>
      <c r="E31" s="40">
        <v>1790710319001</v>
      </c>
      <c r="F31" s="20">
        <v>6.8</v>
      </c>
      <c r="G31" s="20"/>
      <c r="H31" s="20">
        <f t="shared" si="0"/>
        <v>0</v>
      </c>
      <c r="I31" s="20">
        <f t="shared" si="1"/>
        <v>6.8</v>
      </c>
      <c r="J31" s="42"/>
      <c r="K31" s="171"/>
      <c r="L31" s="42"/>
      <c r="M31" s="98">
        <f t="shared" si="15"/>
        <v>8</v>
      </c>
      <c r="N31" s="82">
        <v>42148</v>
      </c>
      <c r="O31" s="19">
        <v>434035</v>
      </c>
      <c r="P31" s="16" t="s">
        <v>126</v>
      </c>
      <c r="Q31" s="31">
        <v>1721272985001</v>
      </c>
      <c r="R31" s="20"/>
      <c r="S31" s="20">
        <v>47.32</v>
      </c>
      <c r="T31" s="20">
        <f t="shared" si="3"/>
        <v>5.6783999999999999</v>
      </c>
      <c r="U31" s="20">
        <f t="shared" si="4"/>
        <v>52.998400000000004</v>
      </c>
      <c r="V31" s="42"/>
      <c r="W31" s="171"/>
      <c r="X31" s="42"/>
      <c r="Y31" s="53">
        <v>32</v>
      </c>
      <c r="Z31" s="82">
        <v>42348</v>
      </c>
      <c r="AA31" s="16">
        <v>5235</v>
      </c>
      <c r="AB31" s="16" t="s">
        <v>125</v>
      </c>
      <c r="AC31" s="31">
        <v>1792449456001</v>
      </c>
      <c r="AD31" s="20">
        <v>56.11</v>
      </c>
      <c r="AE31" s="20"/>
      <c r="AF31" s="20">
        <f t="shared" si="5"/>
        <v>0</v>
      </c>
      <c r="AG31" s="20">
        <f t="shared" si="11"/>
        <v>56.11</v>
      </c>
      <c r="AH31">
        <v>430.55</v>
      </c>
      <c r="AI31" s="168">
        <v>8</v>
      </c>
      <c r="AK31" s="53">
        <f t="shared" si="16"/>
        <v>27</v>
      </c>
      <c r="AL31" s="108">
        <v>42222</v>
      </c>
      <c r="AM31" s="19">
        <v>4922107</v>
      </c>
      <c r="AN31" s="31">
        <v>1790053881001</v>
      </c>
      <c r="AO31" s="16" t="s">
        <v>117</v>
      </c>
      <c r="AP31" s="27">
        <v>31.53</v>
      </c>
      <c r="AQ31" s="27"/>
      <c r="AR31" s="27">
        <f t="shared" si="6"/>
        <v>0</v>
      </c>
      <c r="AS31" s="27">
        <f t="shared" si="17"/>
        <v>31.53</v>
      </c>
      <c r="AT31" s="87"/>
      <c r="AU31" s="87"/>
      <c r="AV31" s="87"/>
      <c r="AW31" s="53">
        <v>30</v>
      </c>
      <c r="AX31" s="85">
        <v>42270</v>
      </c>
      <c r="AY31" s="19">
        <v>43034</v>
      </c>
      <c r="AZ31" s="19" t="s">
        <v>110</v>
      </c>
      <c r="BA31" s="76">
        <v>1713526570001</v>
      </c>
      <c r="BB31" s="21">
        <v>2.15</v>
      </c>
      <c r="BC31" s="21"/>
      <c r="BD31" s="20">
        <f t="shared" si="7"/>
        <v>0</v>
      </c>
      <c r="BE31" s="20">
        <f t="shared" si="8"/>
        <v>2.15</v>
      </c>
    </row>
    <row r="32" spans="1:57">
      <c r="A32" s="53">
        <f t="shared" si="13"/>
        <v>39</v>
      </c>
      <c r="B32" s="82">
        <v>42306</v>
      </c>
      <c r="C32" s="19">
        <v>119280</v>
      </c>
      <c r="D32" s="16" t="s">
        <v>141</v>
      </c>
      <c r="E32" s="40">
        <v>1790710319001</v>
      </c>
      <c r="F32" s="20">
        <v>3.1</v>
      </c>
      <c r="G32" s="20"/>
      <c r="H32" s="20">
        <f t="shared" si="0"/>
        <v>0</v>
      </c>
      <c r="I32" s="20">
        <f t="shared" si="1"/>
        <v>3.1</v>
      </c>
      <c r="J32" s="42"/>
      <c r="K32" s="171"/>
      <c r="L32" s="42"/>
      <c r="M32" s="98">
        <f t="shared" si="15"/>
        <v>9</v>
      </c>
      <c r="N32" s="82">
        <v>42150</v>
      </c>
      <c r="O32" s="19">
        <v>434034</v>
      </c>
      <c r="P32" s="16" t="s">
        <v>126</v>
      </c>
      <c r="Q32" s="31">
        <v>1721272985001</v>
      </c>
      <c r="R32" s="20"/>
      <c r="S32" s="20">
        <v>12.56</v>
      </c>
      <c r="T32" s="20">
        <f t="shared" si="3"/>
        <v>1.5072000000000001</v>
      </c>
      <c r="U32" s="20">
        <f t="shared" si="4"/>
        <v>14.0672</v>
      </c>
      <c r="V32" s="42"/>
      <c r="W32" s="171"/>
      <c r="X32" s="42"/>
      <c r="Y32" s="53">
        <v>1</v>
      </c>
      <c r="Z32" s="82">
        <v>42033</v>
      </c>
      <c r="AA32" s="19">
        <v>3564</v>
      </c>
      <c r="AB32" s="16" t="s">
        <v>121</v>
      </c>
      <c r="AC32" s="31">
        <v>1792452740001</v>
      </c>
      <c r="AD32" s="20">
        <v>50</v>
      </c>
      <c r="AE32" s="20"/>
      <c r="AF32" s="20">
        <f t="shared" si="5"/>
        <v>0</v>
      </c>
      <c r="AG32" s="20">
        <f t="shared" si="11"/>
        <v>50</v>
      </c>
      <c r="AK32" s="53">
        <f t="shared" si="16"/>
        <v>28</v>
      </c>
      <c r="AL32" s="108">
        <v>42269</v>
      </c>
      <c r="AM32" s="19">
        <v>5607044</v>
      </c>
      <c r="AN32" s="31">
        <v>1790053881001</v>
      </c>
      <c r="AO32" s="16" t="s">
        <v>117</v>
      </c>
      <c r="AP32" s="27">
        <v>32.090000000000003</v>
      </c>
      <c r="AQ32" s="27"/>
      <c r="AR32" s="27">
        <f t="shared" si="6"/>
        <v>0</v>
      </c>
      <c r="AS32" s="27">
        <f t="shared" si="17"/>
        <v>32.090000000000003</v>
      </c>
      <c r="AT32" s="87"/>
      <c r="AU32" s="87"/>
      <c r="AV32" s="87"/>
      <c r="AW32" s="53">
        <v>31</v>
      </c>
      <c r="AX32" s="85">
        <v>42186</v>
      </c>
      <c r="AY32" s="19">
        <v>44162</v>
      </c>
      <c r="AZ32" s="19" t="s">
        <v>110</v>
      </c>
      <c r="BA32" s="76">
        <v>1713526570001</v>
      </c>
      <c r="BB32" s="21">
        <v>1.4</v>
      </c>
      <c r="BC32" s="21"/>
      <c r="BD32" s="20">
        <f t="shared" si="7"/>
        <v>0</v>
      </c>
      <c r="BE32" s="20">
        <f t="shared" si="8"/>
        <v>1.4</v>
      </c>
    </row>
    <row r="33" spans="1:59">
      <c r="A33" s="53">
        <f t="shared" si="13"/>
        <v>40</v>
      </c>
      <c r="B33" s="82">
        <v>42344</v>
      </c>
      <c r="C33" s="19">
        <v>333183</v>
      </c>
      <c r="D33" s="16" t="s">
        <v>141</v>
      </c>
      <c r="E33" s="40">
        <v>1790710319001</v>
      </c>
      <c r="F33" s="20">
        <v>6.8</v>
      </c>
      <c r="G33" s="20"/>
      <c r="H33" s="20">
        <f t="shared" si="0"/>
        <v>0</v>
      </c>
      <c r="I33" s="20">
        <f t="shared" si="1"/>
        <v>6.8</v>
      </c>
      <c r="J33" s="42"/>
      <c r="K33" s="171"/>
      <c r="L33" s="42"/>
      <c r="M33" s="98">
        <f t="shared" si="15"/>
        <v>10</v>
      </c>
      <c r="N33" s="82">
        <v>42159</v>
      </c>
      <c r="O33" s="19">
        <v>434033</v>
      </c>
      <c r="P33" s="16" t="s">
        <v>126</v>
      </c>
      <c r="Q33" s="31">
        <v>1721272985001</v>
      </c>
      <c r="R33" s="20"/>
      <c r="S33" s="20">
        <v>36.700000000000003</v>
      </c>
      <c r="T33" s="20">
        <f t="shared" si="3"/>
        <v>4.4039999999999999</v>
      </c>
      <c r="U33" s="20">
        <f t="shared" si="4"/>
        <v>41.103999999999999</v>
      </c>
      <c r="V33" s="42"/>
      <c r="W33" s="171"/>
      <c r="X33" s="42"/>
      <c r="Y33" s="53">
        <f>+Y32+1</f>
        <v>2</v>
      </c>
      <c r="Z33" s="82">
        <v>42061</v>
      </c>
      <c r="AA33" s="19">
        <v>4082</v>
      </c>
      <c r="AB33" s="16" t="s">
        <v>121</v>
      </c>
      <c r="AC33" s="31">
        <v>1792452740001</v>
      </c>
      <c r="AD33" s="20">
        <v>50</v>
      </c>
      <c r="AE33" s="20"/>
      <c r="AF33" s="20">
        <f t="shared" si="5"/>
        <v>0</v>
      </c>
      <c r="AG33" s="20">
        <f t="shared" si="11"/>
        <v>50</v>
      </c>
      <c r="AK33" s="53">
        <f t="shared" si="16"/>
        <v>29</v>
      </c>
      <c r="AL33" s="108">
        <v>42284</v>
      </c>
      <c r="AM33" s="19">
        <v>6292596</v>
      </c>
      <c r="AN33" s="31">
        <v>1790053881001</v>
      </c>
      <c r="AO33" s="16" t="s">
        <v>117</v>
      </c>
      <c r="AP33" s="27">
        <v>32.97</v>
      </c>
      <c r="AQ33" s="25"/>
      <c r="AR33" s="27">
        <f t="shared" si="6"/>
        <v>0</v>
      </c>
      <c r="AS33" s="27">
        <f t="shared" si="17"/>
        <v>32.97</v>
      </c>
      <c r="AT33" s="87"/>
      <c r="AU33" s="87"/>
      <c r="AV33" s="87"/>
      <c r="AW33" s="53">
        <v>32</v>
      </c>
      <c r="AX33" s="85">
        <v>42223</v>
      </c>
      <c r="AY33" s="19">
        <v>45732</v>
      </c>
      <c r="AZ33" s="19" t="s">
        <v>110</v>
      </c>
      <c r="BA33" s="76">
        <v>1713526570001</v>
      </c>
      <c r="BB33" s="21">
        <v>2.0499999999999998</v>
      </c>
      <c r="BC33" s="21"/>
      <c r="BD33" s="20">
        <f t="shared" si="7"/>
        <v>0</v>
      </c>
      <c r="BE33" s="20">
        <f t="shared" si="8"/>
        <v>2.0499999999999998</v>
      </c>
    </row>
    <row r="34" spans="1:59">
      <c r="A34" s="53">
        <f t="shared" si="13"/>
        <v>41</v>
      </c>
      <c r="B34" s="82">
        <v>42358</v>
      </c>
      <c r="C34" s="19">
        <v>139153</v>
      </c>
      <c r="D34" s="16" t="s">
        <v>141</v>
      </c>
      <c r="E34" s="40">
        <v>1790710319001</v>
      </c>
      <c r="F34" s="20">
        <v>7.86</v>
      </c>
      <c r="G34" s="20"/>
      <c r="H34" s="20">
        <f t="shared" si="0"/>
        <v>0</v>
      </c>
      <c r="I34" s="20"/>
      <c r="J34" s="42"/>
      <c r="K34" s="171"/>
      <c r="L34" s="42"/>
      <c r="M34" s="98">
        <f t="shared" si="15"/>
        <v>11</v>
      </c>
      <c r="N34" s="82">
        <v>42242</v>
      </c>
      <c r="O34" s="19">
        <v>468838</v>
      </c>
      <c r="P34" s="16" t="s">
        <v>126</v>
      </c>
      <c r="Q34" s="31">
        <v>1721272985001</v>
      </c>
      <c r="R34" s="20"/>
      <c r="S34" s="20">
        <v>42.37</v>
      </c>
      <c r="T34" s="20">
        <f t="shared" si="3"/>
        <v>5.0843999999999996</v>
      </c>
      <c r="U34" s="20">
        <f t="shared" si="4"/>
        <v>47.4544</v>
      </c>
      <c r="V34" s="42"/>
      <c r="W34" s="171"/>
      <c r="X34" s="42"/>
      <c r="Y34" s="53">
        <v>13</v>
      </c>
      <c r="Z34" s="82">
        <v>42094</v>
      </c>
      <c r="AA34" s="19">
        <v>5032</v>
      </c>
      <c r="AB34" s="16" t="s">
        <v>184</v>
      </c>
      <c r="AC34" s="31">
        <v>1792452740001</v>
      </c>
      <c r="AD34" s="20">
        <v>50</v>
      </c>
      <c r="AE34" s="20"/>
      <c r="AF34" s="20">
        <f t="shared" si="5"/>
        <v>0</v>
      </c>
      <c r="AG34" s="20">
        <f t="shared" si="11"/>
        <v>50</v>
      </c>
      <c r="AH34">
        <v>150</v>
      </c>
      <c r="AI34" s="168">
        <v>3</v>
      </c>
      <c r="AK34" s="53">
        <f t="shared" si="16"/>
        <v>30</v>
      </c>
      <c r="AL34" s="108">
        <v>42680</v>
      </c>
      <c r="AM34" s="29">
        <v>6978021</v>
      </c>
      <c r="AN34" s="31">
        <v>1790053881001</v>
      </c>
      <c r="AO34" s="16" t="s">
        <v>117</v>
      </c>
      <c r="AP34" s="27">
        <v>31.29</v>
      </c>
      <c r="AQ34" s="27"/>
      <c r="AR34" s="27">
        <f t="shared" si="6"/>
        <v>0</v>
      </c>
      <c r="AS34" s="27">
        <f t="shared" si="17"/>
        <v>31.29</v>
      </c>
      <c r="AT34" s="87"/>
      <c r="AU34" s="87"/>
      <c r="AV34" s="87"/>
      <c r="AW34" s="53">
        <v>33</v>
      </c>
      <c r="AX34" s="85">
        <v>42191</v>
      </c>
      <c r="AY34" s="19">
        <v>45510</v>
      </c>
      <c r="AZ34" s="19" t="s">
        <v>110</v>
      </c>
      <c r="BA34" s="76">
        <v>1713526570001</v>
      </c>
      <c r="BB34" s="21">
        <v>3.95</v>
      </c>
      <c r="BC34" s="21"/>
      <c r="BD34" s="20">
        <f t="shared" si="7"/>
        <v>0</v>
      </c>
      <c r="BE34" s="20">
        <f t="shared" si="8"/>
        <v>3.95</v>
      </c>
      <c r="BF34" s="62">
        <v>100.96</v>
      </c>
      <c r="BG34">
        <v>21</v>
      </c>
    </row>
    <row r="35" spans="1:59">
      <c r="A35" s="53">
        <f>+A26+1</f>
        <v>34</v>
      </c>
      <c r="B35" s="82">
        <v>42304</v>
      </c>
      <c r="C35" s="19">
        <v>118450</v>
      </c>
      <c r="D35" s="16" t="s">
        <v>141</v>
      </c>
      <c r="E35" s="40">
        <v>1790710319001</v>
      </c>
      <c r="F35" s="20">
        <v>11.5</v>
      </c>
      <c r="G35" s="20"/>
      <c r="H35" s="20">
        <f t="shared" si="0"/>
        <v>0</v>
      </c>
      <c r="I35" s="20">
        <f>+F35+G35+H35</f>
        <v>11.5</v>
      </c>
      <c r="J35" s="42">
        <v>191.79</v>
      </c>
      <c r="K35" s="171">
        <v>23</v>
      </c>
      <c r="L35" s="42"/>
      <c r="M35" s="98">
        <f t="shared" si="15"/>
        <v>12</v>
      </c>
      <c r="N35" s="82">
        <v>42242</v>
      </c>
      <c r="O35" s="19">
        <v>468839</v>
      </c>
      <c r="P35" s="16" t="s">
        <v>126</v>
      </c>
      <c r="Q35" s="31">
        <v>1721272985001</v>
      </c>
      <c r="R35" s="20"/>
      <c r="S35" s="20">
        <v>60.63</v>
      </c>
      <c r="T35" s="20">
        <f t="shared" si="3"/>
        <v>7.2755999999999998</v>
      </c>
      <c r="U35" s="20">
        <f t="shared" si="4"/>
        <v>67.905600000000007</v>
      </c>
      <c r="V35" s="42"/>
      <c r="W35" s="171"/>
      <c r="X35" s="42"/>
      <c r="Y35" s="53">
        <f>+Y34+1</f>
        <v>14</v>
      </c>
      <c r="Z35" s="82">
        <v>42081</v>
      </c>
      <c r="AA35" s="19">
        <v>15118</v>
      </c>
      <c r="AB35" s="16" t="s">
        <v>124</v>
      </c>
      <c r="AC35" s="31">
        <v>1800917633001</v>
      </c>
      <c r="AD35" s="20"/>
      <c r="AE35" s="20">
        <v>11.83</v>
      </c>
      <c r="AF35" s="20">
        <f t="shared" si="5"/>
        <v>1.4196</v>
      </c>
      <c r="AG35" s="20">
        <f t="shared" ref="AG35" si="18">+AD35+AE35+AF35</f>
        <v>13.249600000000001</v>
      </c>
      <c r="AH35">
        <v>11.83</v>
      </c>
      <c r="AI35" s="168">
        <v>1</v>
      </c>
      <c r="AK35" s="53">
        <f t="shared" si="16"/>
        <v>31</v>
      </c>
      <c r="AL35" s="108">
        <v>42342</v>
      </c>
      <c r="AM35" s="19">
        <v>7662574</v>
      </c>
      <c r="AN35" s="31">
        <v>1790053881001</v>
      </c>
      <c r="AO35" s="16" t="s">
        <v>117</v>
      </c>
      <c r="AP35" s="27">
        <v>33.71</v>
      </c>
      <c r="AQ35" s="27"/>
      <c r="AR35" s="27">
        <f t="shared" si="6"/>
        <v>0</v>
      </c>
      <c r="AS35" s="27">
        <f t="shared" si="17"/>
        <v>33.71</v>
      </c>
      <c r="AT35" s="87">
        <v>454.9</v>
      </c>
      <c r="AU35" s="87">
        <v>16</v>
      </c>
      <c r="AV35" s="87"/>
      <c r="AW35" s="53">
        <v>34</v>
      </c>
      <c r="AX35" s="85">
        <v>42103</v>
      </c>
      <c r="AY35" s="32">
        <v>24077</v>
      </c>
      <c r="AZ35" s="19" t="s">
        <v>92</v>
      </c>
      <c r="BA35" s="76">
        <v>1713644324001</v>
      </c>
      <c r="BB35" s="95">
        <v>16.45</v>
      </c>
      <c r="BC35" s="21"/>
      <c r="BD35" s="20">
        <f t="shared" si="7"/>
        <v>0</v>
      </c>
      <c r="BE35" s="20">
        <f t="shared" si="8"/>
        <v>16.45</v>
      </c>
      <c r="BF35">
        <v>16.45</v>
      </c>
      <c r="BG35">
        <v>1</v>
      </c>
    </row>
    <row r="36" spans="1:59">
      <c r="A36" s="53"/>
      <c r="B36" s="82"/>
      <c r="C36" s="19"/>
      <c r="D36" s="19" t="s">
        <v>200</v>
      </c>
      <c r="E36" s="76">
        <v>1791257049001</v>
      </c>
      <c r="F36" s="21">
        <v>231.74</v>
      </c>
      <c r="G36" s="20"/>
      <c r="H36" s="20"/>
      <c r="I36" s="20">
        <f t="shared" ref="I36:I47" si="19">+F36+G36+H36</f>
        <v>231.74</v>
      </c>
      <c r="J36" s="42"/>
      <c r="K36" s="171"/>
      <c r="L36" s="42"/>
      <c r="M36" s="98">
        <f t="shared" si="15"/>
        <v>13</v>
      </c>
      <c r="N36" s="82">
        <v>42242</v>
      </c>
      <c r="O36" s="19">
        <v>468837</v>
      </c>
      <c r="P36" s="16" t="s">
        <v>126</v>
      </c>
      <c r="Q36" s="31">
        <v>1721272985001</v>
      </c>
      <c r="R36" s="20"/>
      <c r="S36" s="20">
        <v>77.680000000000007</v>
      </c>
      <c r="T36" s="20">
        <f t="shared" si="3"/>
        <v>9.3216000000000001</v>
      </c>
      <c r="U36" s="20">
        <f t="shared" si="4"/>
        <v>87.00160000000001</v>
      </c>
      <c r="V36" s="42"/>
      <c r="W36" s="171"/>
      <c r="X36" s="42"/>
      <c r="Y36" s="53"/>
      <c r="Z36" s="82"/>
      <c r="AA36" s="16"/>
      <c r="AB36" s="16"/>
      <c r="AC36" s="31"/>
      <c r="AD36" s="20"/>
      <c r="AE36" s="20"/>
      <c r="AF36" s="20">
        <f t="shared" si="5"/>
        <v>0</v>
      </c>
      <c r="AG36" s="20">
        <f>+AD36+AE36+AF36</f>
        <v>0</v>
      </c>
      <c r="AK36" s="53">
        <f t="shared" si="16"/>
        <v>32</v>
      </c>
      <c r="AL36" s="108">
        <v>42032</v>
      </c>
      <c r="AM36" s="19">
        <v>1318084</v>
      </c>
      <c r="AN36" s="31">
        <v>1790896269001</v>
      </c>
      <c r="AO36" s="16" t="s">
        <v>118</v>
      </c>
      <c r="AP36" s="27">
        <v>2.61</v>
      </c>
      <c r="AQ36" s="27">
        <v>28.36</v>
      </c>
      <c r="AR36" s="20">
        <f t="shared" si="6"/>
        <v>3.4032</v>
      </c>
      <c r="AS36" s="20">
        <f t="shared" si="17"/>
        <v>34.373199999999997</v>
      </c>
      <c r="AT36" s="87">
        <v>30.97</v>
      </c>
      <c r="AU36" s="87">
        <v>1</v>
      </c>
      <c r="AV36" s="87"/>
      <c r="AW36" s="53">
        <v>35</v>
      </c>
      <c r="AX36" s="85">
        <v>42206</v>
      </c>
      <c r="AY36" s="19">
        <v>5055</v>
      </c>
      <c r="AZ36" s="19" t="s">
        <v>195</v>
      </c>
      <c r="BA36" s="76">
        <v>1714552252001</v>
      </c>
      <c r="BB36" s="21">
        <v>15.25</v>
      </c>
      <c r="BC36" s="21"/>
      <c r="BD36" s="20">
        <f t="shared" si="7"/>
        <v>0</v>
      </c>
      <c r="BE36" s="20">
        <f t="shared" si="8"/>
        <v>15.25</v>
      </c>
      <c r="BF36">
        <v>15.25</v>
      </c>
      <c r="BG36">
        <v>1</v>
      </c>
    </row>
    <row r="37" spans="1:59" ht="15.75" thickBot="1">
      <c r="A37" s="53"/>
      <c r="B37" s="82"/>
      <c r="C37" s="19"/>
      <c r="D37" s="19" t="s">
        <v>200</v>
      </c>
      <c r="E37" s="76">
        <v>1791257049001</v>
      </c>
      <c r="F37" s="21">
        <v>231.74</v>
      </c>
      <c r="G37" s="20"/>
      <c r="H37" s="20"/>
      <c r="I37" s="20">
        <f t="shared" si="19"/>
        <v>231.74</v>
      </c>
      <c r="J37" s="42"/>
      <c r="K37" s="171"/>
      <c r="L37" s="42"/>
      <c r="M37" s="98">
        <f t="shared" si="15"/>
        <v>14</v>
      </c>
      <c r="N37" s="82">
        <v>42315</v>
      </c>
      <c r="O37" s="19">
        <v>494706</v>
      </c>
      <c r="P37" s="16" t="s">
        <v>126</v>
      </c>
      <c r="Q37" s="31">
        <v>1721272985001</v>
      </c>
      <c r="R37" s="20"/>
      <c r="S37" s="20">
        <v>19.46</v>
      </c>
      <c r="T37" s="21">
        <f t="shared" ref="T37:T68" si="20">+S37*0.12</f>
        <v>2.3351999999999999</v>
      </c>
      <c r="U37" s="21">
        <f t="shared" ref="U37:U68" si="21">+R37+S37+T37</f>
        <v>21.795200000000001</v>
      </c>
      <c r="V37" s="42"/>
      <c r="W37" s="171"/>
      <c r="X37" s="42"/>
      <c r="AD37" s="111">
        <f>SUM(AD5:AD36)</f>
        <v>3098.32</v>
      </c>
      <c r="AE37" s="111">
        <f>SUM(AE5:AE36)</f>
        <v>17.810000000000002</v>
      </c>
      <c r="AF37" s="111">
        <f>SUM(AF5:AF36)</f>
        <v>2.1372</v>
      </c>
      <c r="AG37" s="111">
        <f>SUM(AG5:AG36)</f>
        <v>3487.8172000000004</v>
      </c>
      <c r="AK37" s="53">
        <f t="shared" si="16"/>
        <v>33</v>
      </c>
      <c r="AL37" s="108"/>
      <c r="AM37" s="19"/>
      <c r="AN37" s="33"/>
      <c r="AO37" s="16"/>
      <c r="AP37" s="27"/>
      <c r="AQ37" s="27"/>
      <c r="AR37" s="20">
        <f t="shared" si="6"/>
        <v>0</v>
      </c>
      <c r="AS37" s="20">
        <f t="shared" si="17"/>
        <v>0</v>
      </c>
      <c r="AT37" s="42"/>
      <c r="AU37" s="42"/>
      <c r="AV37" s="42"/>
      <c r="AW37" s="53">
        <v>36</v>
      </c>
      <c r="AX37" s="85">
        <v>42231</v>
      </c>
      <c r="AY37" s="19">
        <v>19204</v>
      </c>
      <c r="AZ37" s="19" t="s">
        <v>192</v>
      </c>
      <c r="BA37" s="76">
        <v>1716636947001</v>
      </c>
      <c r="BB37" s="21"/>
      <c r="BC37" s="21">
        <v>4.82</v>
      </c>
      <c r="BD37" s="20">
        <f t="shared" ref="BD37:BD68" si="22">+BC37*0.12</f>
        <v>0.57840000000000003</v>
      </c>
      <c r="BE37" s="20">
        <f t="shared" ref="BE37:BE68" si="23">+BB37+BC37+BD37</f>
        <v>5.3984000000000005</v>
      </c>
      <c r="BF37">
        <v>4.82</v>
      </c>
      <c r="BG37">
        <v>1</v>
      </c>
    </row>
    <row r="38" spans="1:59" ht="15.75" thickTop="1">
      <c r="A38" s="53"/>
      <c r="B38" s="82"/>
      <c r="C38" s="19"/>
      <c r="D38" s="19" t="s">
        <v>200</v>
      </c>
      <c r="E38" s="76">
        <v>1791257049001</v>
      </c>
      <c r="F38" s="21">
        <v>231.74</v>
      </c>
      <c r="G38" s="20"/>
      <c r="H38" s="20"/>
      <c r="I38" s="20">
        <f t="shared" si="19"/>
        <v>231.74</v>
      </c>
      <c r="J38" s="42"/>
      <c r="K38" s="171"/>
      <c r="L38" s="42"/>
      <c r="M38" s="98">
        <f t="shared" si="15"/>
        <v>15</v>
      </c>
      <c r="N38" s="82">
        <v>42336</v>
      </c>
      <c r="O38" s="19">
        <v>11861</v>
      </c>
      <c r="P38" s="16" t="s">
        <v>126</v>
      </c>
      <c r="Q38" s="31">
        <v>1721272985001</v>
      </c>
      <c r="R38" s="20"/>
      <c r="S38" s="20">
        <v>26.25</v>
      </c>
      <c r="T38" s="21">
        <f t="shared" si="20"/>
        <v>3.15</v>
      </c>
      <c r="U38" s="21">
        <f t="shared" si="21"/>
        <v>29.4</v>
      </c>
      <c r="V38" s="42"/>
      <c r="W38" s="171"/>
      <c r="X38" s="42"/>
      <c r="AK38" s="53">
        <f t="shared" si="16"/>
        <v>34</v>
      </c>
      <c r="AL38" s="108"/>
      <c r="AM38" s="19"/>
      <c r="AN38" s="31"/>
      <c r="AO38" s="16"/>
      <c r="AP38" s="27"/>
      <c r="AQ38" s="27"/>
      <c r="AR38" s="20">
        <f t="shared" si="6"/>
        <v>0</v>
      </c>
      <c r="AS38" s="20">
        <f t="shared" si="17"/>
        <v>0</v>
      </c>
      <c r="AT38" s="42"/>
      <c r="AU38" s="42"/>
      <c r="AV38" s="42"/>
      <c r="AW38" s="53">
        <v>37</v>
      </c>
      <c r="AX38" s="85">
        <v>42077</v>
      </c>
      <c r="AY38" s="19">
        <v>8924</v>
      </c>
      <c r="AZ38" s="19" t="s">
        <v>115</v>
      </c>
      <c r="BA38" s="76">
        <v>1750153239001</v>
      </c>
      <c r="BB38" s="21">
        <v>10.9</v>
      </c>
      <c r="BC38" s="21">
        <v>16.920000000000002</v>
      </c>
      <c r="BD38" s="20">
        <f t="shared" si="22"/>
        <v>2.0304000000000002</v>
      </c>
      <c r="BE38" s="20">
        <f t="shared" si="23"/>
        <v>29.8504</v>
      </c>
      <c r="BF38" s="95">
        <v>27.82</v>
      </c>
      <c r="BG38" s="95">
        <v>1</v>
      </c>
    </row>
    <row r="39" spans="1:59">
      <c r="A39" s="53"/>
      <c r="B39" s="82"/>
      <c r="C39" s="19"/>
      <c r="D39" s="19" t="s">
        <v>200</v>
      </c>
      <c r="E39" s="76">
        <v>1791257049001</v>
      </c>
      <c r="F39" s="21">
        <v>231.74</v>
      </c>
      <c r="G39" s="20"/>
      <c r="H39" s="20"/>
      <c r="I39" s="20">
        <f t="shared" si="19"/>
        <v>231.74</v>
      </c>
      <c r="J39" s="42"/>
      <c r="K39" s="171"/>
      <c r="L39" s="42"/>
      <c r="M39" s="98">
        <f t="shared" si="15"/>
        <v>16</v>
      </c>
      <c r="N39" s="82">
        <v>42336</v>
      </c>
      <c r="O39" s="19">
        <v>11860</v>
      </c>
      <c r="P39" s="16" t="s">
        <v>126</v>
      </c>
      <c r="Q39" s="31">
        <v>1721272985001</v>
      </c>
      <c r="R39" s="20"/>
      <c r="S39" s="20">
        <v>54.83</v>
      </c>
      <c r="T39" s="21">
        <f t="shared" si="20"/>
        <v>6.5795999999999992</v>
      </c>
      <c r="U39" s="21">
        <f t="shared" si="21"/>
        <v>61.409599999999998</v>
      </c>
      <c r="V39" s="42"/>
      <c r="W39" s="171"/>
      <c r="X39" s="42"/>
      <c r="AD39" s="112">
        <f>+AD37+AE37</f>
        <v>3116.13</v>
      </c>
      <c r="AH39" s="165">
        <f>SUM(AH5:AH37)</f>
        <v>3116.13</v>
      </c>
      <c r="AP39" s="24">
        <f>SUM(AP5:AP38)</f>
        <v>824.35000000000014</v>
      </c>
      <c r="AQ39" s="24">
        <f>SUM(AQ5:AQ38)</f>
        <v>53.21</v>
      </c>
      <c r="AR39" s="24">
        <f>SUM(AR5:AR38)</f>
        <v>6.3852000000000002</v>
      </c>
      <c r="AS39" s="24">
        <f>SUM(AS5:AS38)</f>
        <v>883.9452</v>
      </c>
      <c r="AT39" s="88"/>
      <c r="AU39" s="88"/>
      <c r="AV39" s="88"/>
      <c r="AW39" s="53">
        <v>38</v>
      </c>
      <c r="AX39" s="85">
        <v>42232</v>
      </c>
      <c r="AY39" s="19">
        <v>56159</v>
      </c>
      <c r="AZ39" s="19" t="s">
        <v>194</v>
      </c>
      <c r="BA39" s="76">
        <v>1750490490001</v>
      </c>
      <c r="BB39" s="21">
        <v>26.44</v>
      </c>
      <c r="BC39" s="21"/>
      <c r="BD39" s="20">
        <f t="shared" si="22"/>
        <v>0</v>
      </c>
      <c r="BE39" s="20">
        <f t="shared" si="23"/>
        <v>26.44</v>
      </c>
    </row>
    <row r="40" spans="1:59">
      <c r="A40" s="53"/>
      <c r="B40" s="82"/>
      <c r="C40" s="19"/>
      <c r="D40" s="19" t="s">
        <v>200</v>
      </c>
      <c r="E40" s="76">
        <v>1791257049001</v>
      </c>
      <c r="F40" s="21">
        <v>231.74</v>
      </c>
      <c r="G40" s="20"/>
      <c r="H40" s="20"/>
      <c r="I40" s="20">
        <f t="shared" si="19"/>
        <v>231.74</v>
      </c>
      <c r="J40" s="42"/>
      <c r="K40" s="171"/>
      <c r="L40" s="42"/>
      <c r="M40" s="98">
        <f t="shared" si="15"/>
        <v>17</v>
      </c>
      <c r="N40" s="82">
        <v>42336</v>
      </c>
      <c r="O40" s="19">
        <v>11859</v>
      </c>
      <c r="P40" s="16" t="s">
        <v>126</v>
      </c>
      <c r="Q40" s="31">
        <v>1721272985001</v>
      </c>
      <c r="R40" s="20"/>
      <c r="S40" s="20">
        <v>19.02</v>
      </c>
      <c r="T40" s="21">
        <f t="shared" si="20"/>
        <v>2.2824</v>
      </c>
      <c r="U40" s="21">
        <f t="shared" si="21"/>
        <v>21.302399999999999</v>
      </c>
      <c r="V40" s="64"/>
      <c r="W40" s="173"/>
      <c r="X40" s="64"/>
      <c r="AP40" s="15"/>
      <c r="AQ40" s="15"/>
      <c r="AR40" s="15"/>
      <c r="AS40" s="15"/>
      <c r="AW40" s="53">
        <v>39</v>
      </c>
      <c r="AX40" s="85">
        <v>42273</v>
      </c>
      <c r="AY40" s="19">
        <v>58226</v>
      </c>
      <c r="AZ40" s="19" t="s">
        <v>194</v>
      </c>
      <c r="BA40" s="76">
        <v>1750490490001</v>
      </c>
      <c r="BB40" s="77">
        <v>25</v>
      </c>
      <c r="BC40" s="21"/>
      <c r="BD40" s="20">
        <f t="shared" si="22"/>
        <v>0</v>
      </c>
      <c r="BE40" s="20">
        <f t="shared" si="23"/>
        <v>25</v>
      </c>
    </row>
    <row r="41" spans="1:59">
      <c r="A41" s="53"/>
      <c r="B41" s="82"/>
      <c r="C41" s="19"/>
      <c r="D41" s="19" t="s">
        <v>200</v>
      </c>
      <c r="E41" s="76">
        <v>1791257049001</v>
      </c>
      <c r="F41" s="21">
        <v>231.74</v>
      </c>
      <c r="G41" s="20"/>
      <c r="H41" s="20"/>
      <c r="I41" s="20">
        <f t="shared" si="19"/>
        <v>231.74</v>
      </c>
      <c r="J41" s="42"/>
      <c r="K41" s="171"/>
      <c r="L41" s="42"/>
      <c r="M41" s="53">
        <f t="shared" si="15"/>
        <v>18</v>
      </c>
      <c r="N41" s="82">
        <v>42728</v>
      </c>
      <c r="O41" s="19">
        <v>26396</v>
      </c>
      <c r="P41" s="16" t="s">
        <v>126</v>
      </c>
      <c r="Q41" s="31">
        <v>1721272985001</v>
      </c>
      <c r="R41" s="20"/>
      <c r="S41" s="20">
        <v>3.75</v>
      </c>
      <c r="T41" s="21">
        <f t="shared" si="20"/>
        <v>0.44999999999999996</v>
      </c>
      <c r="U41" s="21">
        <f t="shared" si="21"/>
        <v>4.2</v>
      </c>
      <c r="V41" s="64">
        <v>594.38</v>
      </c>
      <c r="W41" s="173">
        <v>18</v>
      </c>
      <c r="X41" s="64"/>
      <c r="AP41" s="112">
        <f>+AP39+AQ39</f>
        <v>877.56000000000017</v>
      </c>
      <c r="AQ41" s="15"/>
      <c r="AR41" s="15"/>
      <c r="AS41" s="15"/>
      <c r="AT41" s="165">
        <f>SUM(AT5:AT39)</f>
        <v>877.56</v>
      </c>
      <c r="AW41" s="53">
        <v>40</v>
      </c>
      <c r="AX41" s="85">
        <v>42271</v>
      </c>
      <c r="AY41" s="19">
        <v>58083</v>
      </c>
      <c r="AZ41" s="19" t="s">
        <v>194</v>
      </c>
      <c r="BA41" s="76">
        <v>1750490490001</v>
      </c>
      <c r="BB41" s="77">
        <v>14.25</v>
      </c>
      <c r="BC41" s="21"/>
      <c r="BD41" s="20">
        <f t="shared" si="22"/>
        <v>0</v>
      </c>
      <c r="BE41" s="20">
        <f t="shared" si="23"/>
        <v>14.25</v>
      </c>
    </row>
    <row r="42" spans="1:59">
      <c r="A42" s="53"/>
      <c r="B42" s="82"/>
      <c r="C42" s="19"/>
      <c r="D42" s="19" t="s">
        <v>200</v>
      </c>
      <c r="E42" s="76">
        <v>1791257049001</v>
      </c>
      <c r="F42" s="21">
        <v>231.74</v>
      </c>
      <c r="G42" s="20"/>
      <c r="H42" s="20"/>
      <c r="I42" s="20">
        <f t="shared" si="19"/>
        <v>231.74</v>
      </c>
      <c r="J42" s="42">
        <v>1622.18</v>
      </c>
      <c r="K42" s="171">
        <v>7</v>
      </c>
      <c r="L42" s="42"/>
      <c r="M42" s="53">
        <f t="shared" si="15"/>
        <v>19</v>
      </c>
      <c r="N42" s="82">
        <v>42077</v>
      </c>
      <c r="O42" s="19">
        <v>4213</v>
      </c>
      <c r="P42" s="16" t="s">
        <v>130</v>
      </c>
      <c r="Q42" s="31">
        <v>1721697868001</v>
      </c>
      <c r="R42" s="20"/>
      <c r="S42" s="20">
        <v>12.5</v>
      </c>
      <c r="T42" s="20">
        <f t="shared" si="20"/>
        <v>1.5</v>
      </c>
      <c r="U42" s="20">
        <f t="shared" si="21"/>
        <v>14</v>
      </c>
      <c r="V42" s="64"/>
      <c r="W42" s="173"/>
      <c r="X42" s="64"/>
      <c r="AP42" s="15"/>
      <c r="AQ42" s="15"/>
      <c r="AR42" s="15"/>
      <c r="AS42" s="15"/>
      <c r="AW42" s="53">
        <v>41</v>
      </c>
      <c r="AX42" s="85">
        <v>42296</v>
      </c>
      <c r="AY42" s="19">
        <v>59018</v>
      </c>
      <c r="AZ42" s="19" t="s">
        <v>194</v>
      </c>
      <c r="BA42" s="76">
        <v>1750490490001</v>
      </c>
      <c r="BB42" s="77">
        <v>31.84</v>
      </c>
      <c r="BC42" s="64"/>
      <c r="BD42" s="20">
        <f t="shared" si="22"/>
        <v>0</v>
      </c>
      <c r="BE42" s="20">
        <f t="shared" si="23"/>
        <v>31.84</v>
      </c>
    </row>
    <row r="43" spans="1:59">
      <c r="A43" s="53">
        <f>+A42+1</f>
        <v>1</v>
      </c>
      <c r="B43" s="82">
        <v>42084</v>
      </c>
      <c r="C43" s="19">
        <v>217457</v>
      </c>
      <c r="D43" s="19" t="s">
        <v>135</v>
      </c>
      <c r="E43" s="40">
        <v>1791307704001</v>
      </c>
      <c r="F43" s="21">
        <v>3</v>
      </c>
      <c r="G43" s="16"/>
      <c r="H43" s="20">
        <f t="shared" ref="H43:H87" si="24">+G43*0.12</f>
        <v>0</v>
      </c>
      <c r="I43" s="20">
        <f t="shared" si="19"/>
        <v>3</v>
      </c>
      <c r="J43" s="42"/>
      <c r="K43" s="171"/>
      <c r="L43" s="42"/>
      <c r="M43" s="53">
        <f t="shared" si="15"/>
        <v>20</v>
      </c>
      <c r="N43" s="82">
        <v>42078</v>
      </c>
      <c r="O43" s="19">
        <v>4215</v>
      </c>
      <c r="P43" s="16" t="s">
        <v>130</v>
      </c>
      <c r="Q43" s="31">
        <v>1721697868001</v>
      </c>
      <c r="R43" s="20"/>
      <c r="S43" s="21">
        <v>55.8</v>
      </c>
      <c r="T43" s="20">
        <f t="shared" si="20"/>
        <v>6.6959999999999997</v>
      </c>
      <c r="U43" s="20">
        <f t="shared" si="21"/>
        <v>62.495999999999995</v>
      </c>
      <c r="V43" s="64">
        <v>68.3</v>
      </c>
      <c r="W43" s="173">
        <v>2</v>
      </c>
      <c r="X43" s="64"/>
      <c r="AW43" s="53">
        <v>42</v>
      </c>
      <c r="AX43" s="85">
        <v>42298</v>
      </c>
      <c r="AY43" s="19">
        <v>59161</v>
      </c>
      <c r="AZ43" s="19" t="s">
        <v>194</v>
      </c>
      <c r="BA43" s="76">
        <v>1750490490001</v>
      </c>
      <c r="BB43" s="77">
        <v>11.07</v>
      </c>
      <c r="BC43" s="21"/>
      <c r="BD43" s="20">
        <f t="shared" si="22"/>
        <v>0</v>
      </c>
      <c r="BE43" s="20">
        <f t="shared" si="23"/>
        <v>11.07</v>
      </c>
      <c r="BF43">
        <v>108.6</v>
      </c>
      <c r="BG43">
        <v>5</v>
      </c>
    </row>
    <row r="44" spans="1:59">
      <c r="A44" s="53">
        <f>+A43+1</f>
        <v>2</v>
      </c>
      <c r="B44" s="82">
        <v>42084</v>
      </c>
      <c r="C44" s="19">
        <v>191180</v>
      </c>
      <c r="D44" s="19" t="s">
        <v>135</v>
      </c>
      <c r="E44" s="40">
        <v>1791307704001</v>
      </c>
      <c r="F44" s="20">
        <v>5</v>
      </c>
      <c r="G44" s="20"/>
      <c r="H44" s="20">
        <f t="shared" si="24"/>
        <v>0</v>
      </c>
      <c r="I44" s="20">
        <f t="shared" si="19"/>
        <v>5</v>
      </c>
      <c r="J44" s="42"/>
      <c r="K44" s="171"/>
      <c r="L44" s="42"/>
      <c r="M44" s="53">
        <f t="shared" si="15"/>
        <v>21</v>
      </c>
      <c r="N44" s="82">
        <v>42364</v>
      </c>
      <c r="O44" s="19">
        <v>3236</v>
      </c>
      <c r="P44" s="16" t="s">
        <v>178</v>
      </c>
      <c r="Q44" s="31">
        <v>1754308060001</v>
      </c>
      <c r="R44" s="20"/>
      <c r="S44" s="20">
        <v>24.1</v>
      </c>
      <c r="T44" s="21">
        <f t="shared" si="20"/>
        <v>2.8919999999999999</v>
      </c>
      <c r="U44" s="21">
        <f t="shared" si="21"/>
        <v>26.992000000000001</v>
      </c>
      <c r="V44" s="64">
        <v>24.1</v>
      </c>
      <c r="W44" s="173">
        <v>1</v>
      </c>
      <c r="X44" s="64"/>
      <c r="AW44" s="53">
        <v>43</v>
      </c>
      <c r="AX44" s="85">
        <v>42054</v>
      </c>
      <c r="AY44" s="19">
        <v>7685</v>
      </c>
      <c r="AZ44" s="19" t="s">
        <v>107</v>
      </c>
      <c r="BA44" s="76">
        <v>1790016919001</v>
      </c>
      <c r="BB44" s="21">
        <v>1.28</v>
      </c>
      <c r="BC44" s="21"/>
      <c r="BD44" s="20">
        <f t="shared" si="22"/>
        <v>0</v>
      </c>
      <c r="BE44" s="20">
        <f t="shared" si="23"/>
        <v>1.28</v>
      </c>
    </row>
    <row r="45" spans="1:59">
      <c r="A45" s="53">
        <v>26</v>
      </c>
      <c r="B45" s="82">
        <v>42084</v>
      </c>
      <c r="C45" s="59">
        <v>265685</v>
      </c>
      <c r="D45" s="16" t="s">
        <v>142</v>
      </c>
      <c r="E45" s="40">
        <v>1791307704001</v>
      </c>
      <c r="F45" s="20">
        <v>76</v>
      </c>
      <c r="G45" s="20"/>
      <c r="H45" s="20">
        <f t="shared" si="24"/>
        <v>0</v>
      </c>
      <c r="I45" s="20">
        <f t="shared" si="19"/>
        <v>76</v>
      </c>
      <c r="J45" s="42">
        <v>84</v>
      </c>
      <c r="K45" s="171">
        <v>3</v>
      </c>
      <c r="L45" s="42"/>
      <c r="M45" s="98">
        <f t="shared" si="15"/>
        <v>22</v>
      </c>
      <c r="N45" s="82">
        <v>42284</v>
      </c>
      <c r="O45" s="19">
        <v>8656</v>
      </c>
      <c r="P45" s="16" t="s">
        <v>169</v>
      </c>
      <c r="Q45" s="31">
        <v>1790016919001</v>
      </c>
      <c r="R45" s="20">
        <v>1.77</v>
      </c>
      <c r="S45" s="20"/>
      <c r="T45" s="21">
        <f t="shared" si="20"/>
        <v>0</v>
      </c>
      <c r="U45" s="21">
        <f t="shared" si="21"/>
        <v>1.77</v>
      </c>
      <c r="V45" s="64">
        <v>1.77</v>
      </c>
      <c r="W45" s="173">
        <v>1</v>
      </c>
      <c r="X45" s="64"/>
      <c r="AW45" s="53">
        <v>44</v>
      </c>
      <c r="AX45" s="85">
        <v>42075</v>
      </c>
      <c r="AY45" s="19">
        <v>14414</v>
      </c>
      <c r="AZ45" s="19" t="s">
        <v>107</v>
      </c>
      <c r="BA45" s="76">
        <v>1790016919001</v>
      </c>
      <c r="BB45" s="21">
        <v>20.47</v>
      </c>
      <c r="BC45" s="21"/>
      <c r="BD45" s="20">
        <f t="shared" si="22"/>
        <v>0</v>
      </c>
      <c r="BE45" s="20">
        <f t="shared" si="23"/>
        <v>20.47</v>
      </c>
    </row>
    <row r="46" spans="1:59">
      <c r="A46" s="53">
        <v>1</v>
      </c>
      <c r="B46" s="82">
        <v>42063</v>
      </c>
      <c r="C46" s="19">
        <v>670148</v>
      </c>
      <c r="D46" s="16" t="s">
        <v>134</v>
      </c>
      <c r="E46" s="31">
        <v>1791715772001</v>
      </c>
      <c r="F46" s="20">
        <v>4.29</v>
      </c>
      <c r="G46" s="20"/>
      <c r="H46" s="20">
        <f t="shared" si="24"/>
        <v>0</v>
      </c>
      <c r="I46" s="20">
        <f t="shared" si="19"/>
        <v>4.29</v>
      </c>
      <c r="J46" s="42"/>
      <c r="K46" s="171"/>
      <c r="L46" s="42"/>
      <c r="M46" s="98">
        <f t="shared" si="15"/>
        <v>23</v>
      </c>
      <c r="N46" s="82">
        <v>42306</v>
      </c>
      <c r="O46" s="19">
        <v>32296</v>
      </c>
      <c r="P46" s="16" t="s">
        <v>171</v>
      </c>
      <c r="Q46" s="31">
        <v>1790019659001</v>
      </c>
      <c r="R46" s="20"/>
      <c r="S46" s="20">
        <v>76.88</v>
      </c>
      <c r="T46" s="21">
        <f t="shared" si="20"/>
        <v>9.2255999999999982</v>
      </c>
      <c r="U46" s="21">
        <f t="shared" si="21"/>
        <v>86.105599999999995</v>
      </c>
      <c r="V46" s="64">
        <v>76.88</v>
      </c>
      <c r="W46" s="173">
        <v>1</v>
      </c>
      <c r="X46" s="64"/>
      <c r="AW46" s="53">
        <v>45</v>
      </c>
      <c r="AX46" s="85">
        <v>42106</v>
      </c>
      <c r="AY46" s="19">
        <v>15078</v>
      </c>
      <c r="AZ46" s="19" t="s">
        <v>107</v>
      </c>
      <c r="BA46" s="76">
        <v>1790016919001</v>
      </c>
      <c r="BB46" s="21">
        <v>17.05</v>
      </c>
      <c r="BC46" s="21"/>
      <c r="BD46" s="20">
        <f t="shared" si="22"/>
        <v>0</v>
      </c>
      <c r="BE46" s="20">
        <f t="shared" si="23"/>
        <v>17.05</v>
      </c>
    </row>
    <row r="47" spans="1:59">
      <c r="A47" s="53">
        <f>+A46+1</f>
        <v>2</v>
      </c>
      <c r="B47" s="82">
        <v>42063</v>
      </c>
      <c r="C47" s="19">
        <v>430388</v>
      </c>
      <c r="D47" s="16" t="s">
        <v>134</v>
      </c>
      <c r="E47" s="31">
        <v>1791715772001</v>
      </c>
      <c r="F47" s="20">
        <v>10.33</v>
      </c>
      <c r="G47" s="20"/>
      <c r="H47" s="20">
        <f t="shared" si="24"/>
        <v>0</v>
      </c>
      <c r="I47" s="20">
        <f t="shared" si="19"/>
        <v>10.33</v>
      </c>
      <c r="J47" s="42"/>
      <c r="K47" s="171"/>
      <c r="L47" s="42"/>
      <c r="M47" s="98">
        <f t="shared" si="15"/>
        <v>24</v>
      </c>
      <c r="N47" s="82">
        <v>42256</v>
      </c>
      <c r="O47" s="19">
        <v>79500</v>
      </c>
      <c r="P47" s="16" t="s">
        <v>87</v>
      </c>
      <c r="Q47" s="31">
        <v>1790030105001</v>
      </c>
      <c r="R47" s="20"/>
      <c r="S47" s="20">
        <v>29.2</v>
      </c>
      <c r="T47" s="21">
        <f t="shared" si="20"/>
        <v>3.504</v>
      </c>
      <c r="U47" s="21">
        <f t="shared" si="21"/>
        <v>32.704000000000001</v>
      </c>
      <c r="V47" s="64">
        <v>29.2</v>
      </c>
      <c r="W47" s="173">
        <v>1</v>
      </c>
      <c r="X47" s="64"/>
      <c r="AW47" s="53">
        <v>46</v>
      </c>
      <c r="AX47" s="85">
        <v>42119</v>
      </c>
      <c r="AY47" s="19">
        <v>10999</v>
      </c>
      <c r="AZ47" s="19" t="s">
        <v>107</v>
      </c>
      <c r="BA47" s="76">
        <v>1790016919001</v>
      </c>
      <c r="BB47" s="21">
        <v>11.77</v>
      </c>
      <c r="BC47" s="21"/>
      <c r="BD47" s="20">
        <f t="shared" si="22"/>
        <v>0</v>
      </c>
      <c r="BE47" s="20">
        <f t="shared" si="23"/>
        <v>11.77</v>
      </c>
    </row>
    <row r="48" spans="1:59">
      <c r="A48" s="53">
        <f>+A47+1</f>
        <v>3</v>
      </c>
      <c r="B48" s="82">
        <v>42063</v>
      </c>
      <c r="C48" s="19">
        <v>431305</v>
      </c>
      <c r="D48" s="16" t="s">
        <v>134</v>
      </c>
      <c r="E48" s="31">
        <v>1791715772001</v>
      </c>
      <c r="F48" s="20">
        <v>2.74</v>
      </c>
      <c r="G48" s="20"/>
      <c r="H48" s="20">
        <f t="shared" si="24"/>
        <v>0</v>
      </c>
      <c r="I48" s="20">
        <f t="shared" ref="I48:I87" si="25">+F48+G48+H48</f>
        <v>2.74</v>
      </c>
      <c r="J48" s="42"/>
      <c r="K48" s="171"/>
      <c r="L48" s="42"/>
      <c r="M48" s="53">
        <f t="shared" si="15"/>
        <v>25</v>
      </c>
      <c r="N48" s="85">
        <v>42266</v>
      </c>
      <c r="O48" s="19">
        <v>64970</v>
      </c>
      <c r="P48" s="19" t="s">
        <v>209</v>
      </c>
      <c r="Q48" s="76">
        <v>1790100421001</v>
      </c>
      <c r="R48" s="19"/>
      <c r="S48" s="21">
        <v>99.11</v>
      </c>
      <c r="T48" s="20">
        <f t="shared" si="20"/>
        <v>11.8932</v>
      </c>
      <c r="U48" s="21">
        <f t="shared" si="21"/>
        <v>111.00319999999999</v>
      </c>
      <c r="V48" s="64"/>
      <c r="W48" s="173"/>
      <c r="X48" s="64"/>
      <c r="AW48" s="53">
        <v>47</v>
      </c>
      <c r="AX48" s="85">
        <v>42280</v>
      </c>
      <c r="AY48" s="19">
        <v>35015</v>
      </c>
      <c r="AZ48" s="19" t="s">
        <v>107</v>
      </c>
      <c r="BA48" s="76">
        <v>1790016919001</v>
      </c>
      <c r="BB48" s="77">
        <v>20.39</v>
      </c>
      <c r="BC48" s="21"/>
      <c r="BD48" s="20">
        <f t="shared" si="22"/>
        <v>0</v>
      </c>
      <c r="BE48" s="20">
        <f t="shared" si="23"/>
        <v>20.39</v>
      </c>
    </row>
    <row r="49" spans="1:59">
      <c r="A49" s="53">
        <f>+A48+1</f>
        <v>4</v>
      </c>
      <c r="B49" s="82">
        <v>42059</v>
      </c>
      <c r="C49" s="19">
        <v>443549</v>
      </c>
      <c r="D49" s="16" t="s">
        <v>134</v>
      </c>
      <c r="E49" s="31">
        <v>1791715772001</v>
      </c>
      <c r="F49" s="20">
        <v>1.47</v>
      </c>
      <c r="G49" s="20"/>
      <c r="H49" s="20">
        <f t="shared" si="24"/>
        <v>0</v>
      </c>
      <c r="I49" s="20">
        <f t="shared" si="25"/>
        <v>1.47</v>
      </c>
      <c r="J49" s="42"/>
      <c r="K49" s="171"/>
      <c r="L49" s="42"/>
      <c r="M49" s="53">
        <f t="shared" si="15"/>
        <v>26</v>
      </c>
      <c r="N49" s="85">
        <v>42252</v>
      </c>
      <c r="O49" s="19">
        <v>5064970</v>
      </c>
      <c r="P49" s="19" t="s">
        <v>209</v>
      </c>
      <c r="Q49" s="76">
        <v>1790100421001</v>
      </c>
      <c r="R49" s="21"/>
      <c r="S49" s="21">
        <v>99.11</v>
      </c>
      <c r="T49" s="21">
        <f t="shared" si="20"/>
        <v>11.8932</v>
      </c>
      <c r="U49" s="21">
        <f t="shared" si="21"/>
        <v>111.00319999999999</v>
      </c>
      <c r="V49" s="64">
        <v>198.22</v>
      </c>
      <c r="W49" s="173">
        <v>2</v>
      </c>
      <c r="X49" s="64"/>
      <c r="AD49" s="14"/>
      <c r="AW49" s="53">
        <v>48</v>
      </c>
      <c r="AX49" s="85">
        <v>42295</v>
      </c>
      <c r="AY49" s="19">
        <v>34033</v>
      </c>
      <c r="AZ49" s="19" t="s">
        <v>107</v>
      </c>
      <c r="BA49" s="76">
        <v>1790016919001</v>
      </c>
      <c r="BB49" s="77">
        <v>57.46</v>
      </c>
      <c r="BC49" s="21">
        <v>5.57</v>
      </c>
      <c r="BD49" s="20">
        <f t="shared" si="22"/>
        <v>0.66839999999999999</v>
      </c>
      <c r="BE49" s="20">
        <f t="shared" si="23"/>
        <v>63.698399999999999</v>
      </c>
    </row>
    <row r="50" spans="1:59">
      <c r="A50" s="53">
        <v>29</v>
      </c>
      <c r="B50" s="82">
        <v>42125</v>
      </c>
      <c r="C50" s="19">
        <v>455957</v>
      </c>
      <c r="D50" s="16" t="s">
        <v>134</v>
      </c>
      <c r="E50" s="40">
        <v>1791715772001</v>
      </c>
      <c r="F50" s="20">
        <v>19.420000000000002</v>
      </c>
      <c r="G50" s="20"/>
      <c r="H50" s="20">
        <f t="shared" si="24"/>
        <v>0</v>
      </c>
      <c r="I50" s="20">
        <f t="shared" si="25"/>
        <v>19.420000000000002</v>
      </c>
      <c r="J50" s="42"/>
      <c r="K50" s="171"/>
      <c r="L50" s="42"/>
      <c r="M50" s="98">
        <f t="shared" si="15"/>
        <v>27</v>
      </c>
      <c r="N50" s="82">
        <v>42168</v>
      </c>
      <c r="O50" s="19">
        <v>117188</v>
      </c>
      <c r="P50" s="16" t="s">
        <v>141</v>
      </c>
      <c r="Q50" s="31">
        <v>1790710319001</v>
      </c>
      <c r="R50" s="20"/>
      <c r="S50" s="20">
        <v>5.91</v>
      </c>
      <c r="T50" s="20">
        <f t="shared" si="20"/>
        <v>0.70919999999999994</v>
      </c>
      <c r="U50" s="20">
        <f t="shared" si="21"/>
        <v>6.6192000000000002</v>
      </c>
      <c r="V50" s="64"/>
      <c r="W50" s="173"/>
      <c r="X50" s="64"/>
      <c r="AW50" s="53">
        <v>49</v>
      </c>
      <c r="AX50" s="85">
        <v>42319</v>
      </c>
      <c r="AY50" s="19">
        <v>787001</v>
      </c>
      <c r="AZ50" s="19" t="s">
        <v>107</v>
      </c>
      <c r="BA50" s="76">
        <v>1790016919001</v>
      </c>
      <c r="BB50" s="77">
        <v>18.29</v>
      </c>
      <c r="BC50" s="21"/>
      <c r="BD50" s="20">
        <f t="shared" si="22"/>
        <v>0</v>
      </c>
      <c r="BE50" s="20">
        <f t="shared" si="23"/>
        <v>18.29</v>
      </c>
    </row>
    <row r="51" spans="1:59">
      <c r="A51" s="53">
        <v>30</v>
      </c>
      <c r="B51" s="82">
        <v>42180</v>
      </c>
      <c r="C51" s="19">
        <v>13629</v>
      </c>
      <c r="D51" s="16" t="s">
        <v>134</v>
      </c>
      <c r="E51" s="40">
        <v>1791715772001</v>
      </c>
      <c r="F51" s="20">
        <v>15.83</v>
      </c>
      <c r="G51" s="20"/>
      <c r="H51" s="20">
        <f t="shared" si="24"/>
        <v>0</v>
      </c>
      <c r="I51" s="20">
        <f t="shared" si="25"/>
        <v>15.83</v>
      </c>
      <c r="J51" s="42"/>
      <c r="K51" s="171"/>
      <c r="L51" s="42"/>
      <c r="M51" s="98">
        <f t="shared" si="15"/>
        <v>28</v>
      </c>
      <c r="N51" s="82">
        <v>42215</v>
      </c>
      <c r="O51" s="19">
        <v>93546</v>
      </c>
      <c r="P51" s="16" t="s">
        <v>141</v>
      </c>
      <c r="Q51" s="31">
        <v>1790710319001</v>
      </c>
      <c r="R51" s="20">
        <v>2.23</v>
      </c>
      <c r="S51" s="20"/>
      <c r="T51" s="20">
        <f t="shared" si="20"/>
        <v>0</v>
      </c>
      <c r="U51" s="20">
        <f t="shared" si="21"/>
        <v>2.23</v>
      </c>
      <c r="V51" s="64">
        <v>8.14</v>
      </c>
      <c r="W51" s="173">
        <v>2</v>
      </c>
      <c r="X51" s="64"/>
      <c r="AW51" s="53">
        <v>50</v>
      </c>
      <c r="AX51" s="85">
        <v>42015</v>
      </c>
      <c r="AY51" s="19">
        <v>650</v>
      </c>
      <c r="AZ51" s="19" t="s">
        <v>107</v>
      </c>
      <c r="BA51" s="76">
        <v>1790016919001</v>
      </c>
      <c r="BB51" s="21">
        <v>220.66</v>
      </c>
      <c r="BC51" s="21"/>
      <c r="BD51" s="20">
        <f t="shared" si="22"/>
        <v>0</v>
      </c>
      <c r="BE51" s="20">
        <f t="shared" si="23"/>
        <v>220.66</v>
      </c>
    </row>
    <row r="52" spans="1:59">
      <c r="A52" s="53">
        <f>+A51+1</f>
        <v>31</v>
      </c>
      <c r="B52" s="82">
        <v>42260</v>
      </c>
      <c r="C52" s="19">
        <v>23491</v>
      </c>
      <c r="D52" s="16" t="s">
        <v>161</v>
      </c>
      <c r="E52" s="40">
        <v>1791715772001</v>
      </c>
      <c r="F52" s="20">
        <v>4.0199999999999996</v>
      </c>
      <c r="G52" s="20"/>
      <c r="H52" s="20">
        <f t="shared" si="24"/>
        <v>0</v>
      </c>
      <c r="I52" s="20">
        <f t="shared" si="25"/>
        <v>4.0199999999999996</v>
      </c>
      <c r="J52" s="42"/>
      <c r="K52" s="171"/>
      <c r="L52" s="42"/>
      <c r="M52" s="98">
        <f t="shared" si="15"/>
        <v>29</v>
      </c>
      <c r="N52" s="82">
        <v>42160</v>
      </c>
      <c r="O52" s="19">
        <v>1175</v>
      </c>
      <c r="P52" s="31" t="s">
        <v>147</v>
      </c>
      <c r="Q52" s="31">
        <v>1790985504001</v>
      </c>
      <c r="R52" s="20"/>
      <c r="S52" s="20">
        <v>27.7</v>
      </c>
      <c r="T52" s="20">
        <f t="shared" si="20"/>
        <v>3.3239999999999998</v>
      </c>
      <c r="U52" s="20">
        <f t="shared" si="21"/>
        <v>31.024000000000001</v>
      </c>
      <c r="V52" s="64"/>
      <c r="W52" s="173"/>
      <c r="X52" s="64"/>
      <c r="AW52" s="53">
        <v>51</v>
      </c>
      <c r="AX52" s="85">
        <v>42254</v>
      </c>
      <c r="AY52" s="19">
        <v>31499</v>
      </c>
      <c r="AZ52" s="19" t="s">
        <v>107</v>
      </c>
      <c r="BA52" s="76">
        <v>1790016919001</v>
      </c>
      <c r="BB52" s="21">
        <v>139.4</v>
      </c>
      <c r="BC52" s="21"/>
      <c r="BD52" s="20">
        <f t="shared" si="22"/>
        <v>0</v>
      </c>
      <c r="BE52" s="20">
        <f t="shared" si="23"/>
        <v>139.4</v>
      </c>
      <c r="BF52">
        <v>512.34</v>
      </c>
      <c r="BG52">
        <v>9</v>
      </c>
    </row>
    <row r="53" spans="1:59">
      <c r="A53" s="53">
        <f>+A52+1</f>
        <v>32</v>
      </c>
      <c r="B53" s="82">
        <v>42283</v>
      </c>
      <c r="C53" s="19">
        <v>28869</v>
      </c>
      <c r="D53" s="16" t="s">
        <v>161</v>
      </c>
      <c r="E53" s="40">
        <v>1791715772001</v>
      </c>
      <c r="F53" s="20">
        <v>2.67</v>
      </c>
      <c r="G53" s="20"/>
      <c r="H53" s="20">
        <f t="shared" si="24"/>
        <v>0</v>
      </c>
      <c r="I53" s="20">
        <f t="shared" si="25"/>
        <v>2.67</v>
      </c>
      <c r="J53" s="42">
        <v>60.77</v>
      </c>
      <c r="K53" s="171">
        <v>8</v>
      </c>
      <c r="L53" s="42"/>
      <c r="M53" s="98">
        <f t="shared" si="15"/>
        <v>30</v>
      </c>
      <c r="N53" s="82">
        <v>42266</v>
      </c>
      <c r="O53" s="19">
        <v>6841</v>
      </c>
      <c r="P53" s="16" t="s">
        <v>147</v>
      </c>
      <c r="Q53" s="31">
        <v>1790985504001</v>
      </c>
      <c r="R53" s="20"/>
      <c r="S53" s="20">
        <v>26.48</v>
      </c>
      <c r="T53" s="21">
        <f t="shared" si="20"/>
        <v>3.1776</v>
      </c>
      <c r="U53" s="21">
        <f t="shared" si="21"/>
        <v>29.657600000000002</v>
      </c>
      <c r="V53" s="64">
        <v>54.18</v>
      </c>
      <c r="W53" s="173">
        <v>2</v>
      </c>
      <c r="X53" s="64"/>
      <c r="AW53" s="53">
        <v>52</v>
      </c>
      <c r="AX53" s="85">
        <v>42028</v>
      </c>
      <c r="AY53" s="19">
        <v>210705</v>
      </c>
      <c r="AZ53" s="19" t="s">
        <v>81</v>
      </c>
      <c r="BA53" s="76">
        <v>1790164241001</v>
      </c>
      <c r="BB53" s="21">
        <v>33.71</v>
      </c>
      <c r="BC53" s="21"/>
      <c r="BD53" s="20">
        <f t="shared" si="22"/>
        <v>0</v>
      </c>
      <c r="BE53" s="20">
        <f t="shared" si="23"/>
        <v>33.71</v>
      </c>
      <c r="BF53">
        <v>33.71</v>
      </c>
      <c r="BG53">
        <v>1</v>
      </c>
    </row>
    <row r="54" spans="1:59">
      <c r="A54" s="53">
        <f>+A53+1</f>
        <v>33</v>
      </c>
      <c r="B54" s="82">
        <v>42202</v>
      </c>
      <c r="C54" s="19">
        <v>11492</v>
      </c>
      <c r="D54" s="16" t="s">
        <v>157</v>
      </c>
      <c r="E54" s="40">
        <v>1791736958001</v>
      </c>
      <c r="F54" s="20">
        <v>1.21</v>
      </c>
      <c r="G54" s="20"/>
      <c r="H54" s="20">
        <f t="shared" si="24"/>
        <v>0</v>
      </c>
      <c r="I54" s="20">
        <f t="shared" si="25"/>
        <v>1.21</v>
      </c>
      <c r="J54" s="42"/>
      <c r="K54" s="171"/>
      <c r="L54" s="42"/>
      <c r="M54" s="98">
        <f t="shared" si="15"/>
        <v>31</v>
      </c>
      <c r="N54" s="82">
        <v>42245</v>
      </c>
      <c r="O54" s="19">
        <v>86932</v>
      </c>
      <c r="P54" s="16" t="s">
        <v>167</v>
      </c>
      <c r="Q54" s="31">
        <v>1791412354001</v>
      </c>
      <c r="R54" s="20"/>
      <c r="S54" s="20">
        <v>65.16</v>
      </c>
      <c r="T54" s="20">
        <f t="shared" si="20"/>
        <v>7.8191999999999995</v>
      </c>
      <c r="U54" s="20">
        <f t="shared" si="21"/>
        <v>72.979199999999992</v>
      </c>
      <c r="V54" s="64">
        <v>65.150000000000006</v>
      </c>
      <c r="W54" s="173">
        <v>1</v>
      </c>
      <c r="X54" s="64"/>
      <c r="AW54" s="53">
        <v>53</v>
      </c>
      <c r="AX54" s="85">
        <v>42021</v>
      </c>
      <c r="AY54" s="19">
        <v>1213</v>
      </c>
      <c r="AZ54" s="19" t="s">
        <v>109</v>
      </c>
      <c r="BA54" s="76">
        <v>1790710319001</v>
      </c>
      <c r="BB54" s="21">
        <v>34.409999999999997</v>
      </c>
      <c r="BC54" s="16">
        <v>17</v>
      </c>
      <c r="BD54" s="20">
        <f t="shared" si="22"/>
        <v>2.04</v>
      </c>
      <c r="BE54" s="20">
        <f t="shared" si="23"/>
        <v>53.449999999999996</v>
      </c>
    </row>
    <row r="55" spans="1:59">
      <c r="A55" s="53">
        <f>+A54+1</f>
        <v>34</v>
      </c>
      <c r="B55" s="82">
        <v>42186</v>
      </c>
      <c r="C55" s="19">
        <v>1488</v>
      </c>
      <c r="D55" s="16" t="s">
        <v>157</v>
      </c>
      <c r="E55" s="40">
        <v>1791736958001</v>
      </c>
      <c r="F55" s="20">
        <v>1.3</v>
      </c>
      <c r="G55" s="20"/>
      <c r="H55" s="20">
        <f t="shared" si="24"/>
        <v>0</v>
      </c>
      <c r="I55" s="20">
        <f t="shared" si="25"/>
        <v>1.3</v>
      </c>
      <c r="J55" s="42">
        <v>2.5099999999999998</v>
      </c>
      <c r="K55" s="171">
        <v>2</v>
      </c>
      <c r="L55" s="42"/>
      <c r="M55" s="98">
        <f t="shared" si="15"/>
        <v>32</v>
      </c>
      <c r="N55" s="82">
        <v>42165</v>
      </c>
      <c r="O55" s="19">
        <v>5653</v>
      </c>
      <c r="P55" s="16" t="s">
        <v>148</v>
      </c>
      <c r="Q55" s="31">
        <v>1791807529001</v>
      </c>
      <c r="R55" s="20"/>
      <c r="S55" s="20">
        <v>76.78</v>
      </c>
      <c r="T55" s="20">
        <f t="shared" si="20"/>
        <v>9.2135999999999996</v>
      </c>
      <c r="U55" s="20">
        <f t="shared" si="21"/>
        <v>85.993600000000001</v>
      </c>
      <c r="V55" s="64">
        <v>76.78</v>
      </c>
      <c r="W55" s="173">
        <v>1</v>
      </c>
      <c r="X55" s="64"/>
      <c r="AW55" s="53">
        <v>54</v>
      </c>
      <c r="AX55" s="85">
        <v>42071</v>
      </c>
      <c r="AY55" s="19">
        <v>21671</v>
      </c>
      <c r="AZ55" s="19" t="s">
        <v>109</v>
      </c>
      <c r="BA55" s="76">
        <v>1790710319001</v>
      </c>
      <c r="BB55" s="21">
        <v>16.91</v>
      </c>
      <c r="BC55" s="21"/>
      <c r="BD55" s="20">
        <f t="shared" si="22"/>
        <v>0</v>
      </c>
      <c r="BE55" s="20">
        <f t="shared" si="23"/>
        <v>16.91</v>
      </c>
    </row>
    <row r="56" spans="1:59">
      <c r="A56" s="53">
        <v>28</v>
      </c>
      <c r="B56" s="82">
        <v>42143</v>
      </c>
      <c r="C56" s="19">
        <v>503207</v>
      </c>
      <c r="D56" s="16" t="s">
        <v>144</v>
      </c>
      <c r="E56" s="31">
        <v>1791984722001</v>
      </c>
      <c r="F56" s="20">
        <v>4.34</v>
      </c>
      <c r="G56" s="16"/>
      <c r="H56" s="20">
        <f t="shared" si="24"/>
        <v>0</v>
      </c>
      <c r="I56" s="20">
        <f t="shared" si="25"/>
        <v>4.34</v>
      </c>
      <c r="J56" s="42"/>
      <c r="K56" s="171"/>
      <c r="L56" s="42"/>
      <c r="M56" s="53">
        <f t="shared" si="15"/>
        <v>33</v>
      </c>
      <c r="N56" s="82">
        <v>42355</v>
      </c>
      <c r="O56" s="19">
        <v>1660</v>
      </c>
      <c r="P56" s="16" t="s">
        <v>174</v>
      </c>
      <c r="Q56" s="31">
        <v>1791808363001</v>
      </c>
      <c r="R56" s="20"/>
      <c r="S56" s="20">
        <v>39.1</v>
      </c>
      <c r="T56" s="21">
        <f t="shared" si="20"/>
        <v>4.6920000000000002</v>
      </c>
      <c r="U56" s="21">
        <f t="shared" si="21"/>
        <v>43.792000000000002</v>
      </c>
      <c r="V56" s="64"/>
      <c r="W56" s="173"/>
      <c r="X56" s="64"/>
      <c r="AW56" s="53">
        <v>55</v>
      </c>
      <c r="AX56" s="85">
        <v>42112</v>
      </c>
      <c r="AY56" s="19">
        <v>73026</v>
      </c>
      <c r="AZ56" s="19" t="s">
        <v>109</v>
      </c>
      <c r="BA56" s="76">
        <v>1790710319001</v>
      </c>
      <c r="BB56" s="21">
        <v>8.85</v>
      </c>
      <c r="BC56" s="21"/>
      <c r="BD56" s="20">
        <f t="shared" si="22"/>
        <v>0</v>
      </c>
      <c r="BE56" s="20">
        <f t="shared" si="23"/>
        <v>8.85</v>
      </c>
    </row>
    <row r="57" spans="1:59">
      <c r="A57" s="53">
        <f t="shared" ref="A57:A74" si="26">+A56+1</f>
        <v>29</v>
      </c>
      <c r="B57" s="82">
        <v>42190</v>
      </c>
      <c r="C57" s="19">
        <v>507930</v>
      </c>
      <c r="D57" s="16" t="s">
        <v>144</v>
      </c>
      <c r="E57" s="40">
        <v>1791984722001</v>
      </c>
      <c r="F57" s="20">
        <v>2.57</v>
      </c>
      <c r="G57" s="20"/>
      <c r="H57" s="20">
        <f t="shared" si="24"/>
        <v>0</v>
      </c>
      <c r="I57" s="20">
        <f t="shared" si="25"/>
        <v>2.57</v>
      </c>
      <c r="J57" s="42"/>
      <c r="K57" s="171"/>
      <c r="L57" s="42"/>
      <c r="M57" s="53">
        <f t="shared" si="15"/>
        <v>34</v>
      </c>
      <c r="N57" s="85">
        <v>42355</v>
      </c>
      <c r="O57" s="19">
        <v>1659</v>
      </c>
      <c r="P57" s="19" t="s">
        <v>174</v>
      </c>
      <c r="Q57" s="76">
        <v>1791808363001</v>
      </c>
      <c r="R57" s="21"/>
      <c r="S57" s="21">
        <v>168.01</v>
      </c>
      <c r="T57" s="20">
        <f t="shared" si="20"/>
        <v>20.161199999999997</v>
      </c>
      <c r="U57" s="21">
        <f t="shared" si="21"/>
        <v>188.1712</v>
      </c>
      <c r="V57" s="64">
        <v>207.11</v>
      </c>
      <c r="W57" s="173">
        <v>2</v>
      </c>
      <c r="X57" s="64"/>
      <c r="AW57" s="53">
        <v>56</v>
      </c>
      <c r="AX57" s="85">
        <v>42119</v>
      </c>
      <c r="AY57" s="19">
        <v>61852</v>
      </c>
      <c r="AZ57" s="19" t="s">
        <v>141</v>
      </c>
      <c r="BA57" s="76">
        <v>1790710319001</v>
      </c>
      <c r="BB57" s="21">
        <v>18.12</v>
      </c>
      <c r="BC57" s="21"/>
      <c r="BD57" s="20">
        <f t="shared" si="22"/>
        <v>0</v>
      </c>
      <c r="BE57" s="20">
        <f t="shared" si="23"/>
        <v>18.12</v>
      </c>
    </row>
    <row r="58" spans="1:59">
      <c r="A58" s="53">
        <f t="shared" si="26"/>
        <v>30</v>
      </c>
      <c r="B58" s="82">
        <v>42217</v>
      </c>
      <c r="C58" s="19">
        <v>508394</v>
      </c>
      <c r="D58" s="16" t="s">
        <v>158</v>
      </c>
      <c r="E58" s="40">
        <v>1791984722001</v>
      </c>
      <c r="F58" s="20">
        <v>4.0599999999999996</v>
      </c>
      <c r="G58" s="20"/>
      <c r="H58" s="20">
        <f t="shared" si="24"/>
        <v>0</v>
      </c>
      <c r="I58" s="20">
        <f t="shared" si="25"/>
        <v>4.0599999999999996</v>
      </c>
      <c r="J58" s="42"/>
      <c r="K58" s="171"/>
      <c r="L58" s="42"/>
      <c r="M58" s="98">
        <f t="shared" ref="M58:M75" si="27">+M57+1</f>
        <v>35</v>
      </c>
      <c r="N58" s="82">
        <v>42249</v>
      </c>
      <c r="O58" s="19">
        <v>99196</v>
      </c>
      <c r="P58" s="16" t="s">
        <v>166</v>
      </c>
      <c r="Q58" s="31">
        <v>1792114594001</v>
      </c>
      <c r="R58" s="20"/>
      <c r="S58" s="20">
        <v>28.93</v>
      </c>
      <c r="T58" s="20">
        <f t="shared" si="20"/>
        <v>3.4716</v>
      </c>
      <c r="U58" s="20">
        <f t="shared" si="21"/>
        <v>32.401600000000002</v>
      </c>
      <c r="V58" s="64"/>
      <c r="W58" s="173"/>
      <c r="X58" s="64"/>
      <c r="AW58" s="53">
        <v>57</v>
      </c>
      <c r="AX58" s="85">
        <v>42186</v>
      </c>
      <c r="AY58" s="19">
        <v>151186</v>
      </c>
      <c r="AZ58" s="19" t="s">
        <v>141</v>
      </c>
      <c r="BA58" s="76">
        <v>1790710319001</v>
      </c>
      <c r="BB58" s="21">
        <v>3.09</v>
      </c>
      <c r="BC58" s="21"/>
      <c r="BD58" s="20">
        <f t="shared" si="22"/>
        <v>0</v>
      </c>
      <c r="BE58" s="20">
        <f t="shared" si="23"/>
        <v>3.09</v>
      </c>
    </row>
    <row r="59" spans="1:59">
      <c r="A59" s="53">
        <f t="shared" si="26"/>
        <v>31</v>
      </c>
      <c r="B59" s="82">
        <v>42292</v>
      </c>
      <c r="C59" s="19">
        <v>526649</v>
      </c>
      <c r="D59" s="16" t="s">
        <v>162</v>
      </c>
      <c r="E59" s="40">
        <v>1791984722001</v>
      </c>
      <c r="F59" s="20">
        <v>20.04</v>
      </c>
      <c r="G59" s="20"/>
      <c r="H59" s="20">
        <f t="shared" si="24"/>
        <v>0</v>
      </c>
      <c r="I59" s="20">
        <f t="shared" si="25"/>
        <v>20.04</v>
      </c>
      <c r="J59" s="42"/>
      <c r="K59" s="171"/>
      <c r="L59" s="42"/>
      <c r="M59" s="98">
        <f t="shared" si="27"/>
        <v>36</v>
      </c>
      <c r="N59" s="82">
        <v>42247</v>
      </c>
      <c r="O59" s="19">
        <v>99018</v>
      </c>
      <c r="P59" s="16" t="s">
        <v>166</v>
      </c>
      <c r="Q59" s="31">
        <v>1792114594001</v>
      </c>
      <c r="R59" s="20"/>
      <c r="S59" s="20">
        <v>30.71</v>
      </c>
      <c r="T59" s="20">
        <f t="shared" si="20"/>
        <v>3.6852</v>
      </c>
      <c r="U59" s="20">
        <f t="shared" si="21"/>
        <v>34.395200000000003</v>
      </c>
      <c r="V59" s="64">
        <v>59.64</v>
      </c>
      <c r="W59" s="173">
        <v>2</v>
      </c>
      <c r="X59" s="64"/>
      <c r="AW59" s="53">
        <v>58</v>
      </c>
      <c r="AX59" s="85">
        <v>42232</v>
      </c>
      <c r="AY59" s="19">
        <v>124175</v>
      </c>
      <c r="AZ59" s="19" t="s">
        <v>141</v>
      </c>
      <c r="BA59" s="76">
        <v>1790710319001</v>
      </c>
      <c r="BB59" s="21">
        <v>29.97</v>
      </c>
      <c r="BC59" s="21"/>
      <c r="BD59" s="20">
        <f t="shared" si="22"/>
        <v>0</v>
      </c>
      <c r="BE59" s="20">
        <f t="shared" si="23"/>
        <v>29.97</v>
      </c>
    </row>
    <row r="60" spans="1:59">
      <c r="A60" s="53">
        <f t="shared" si="26"/>
        <v>32</v>
      </c>
      <c r="B60" s="82">
        <v>42305</v>
      </c>
      <c r="C60" s="19">
        <v>503878</v>
      </c>
      <c r="D60" s="16" t="s">
        <v>162</v>
      </c>
      <c r="E60" s="40">
        <v>1791984722001</v>
      </c>
      <c r="F60" s="20">
        <v>5.94</v>
      </c>
      <c r="G60" s="20"/>
      <c r="H60" s="20">
        <f t="shared" si="24"/>
        <v>0</v>
      </c>
      <c r="I60" s="20">
        <f t="shared" si="25"/>
        <v>5.94</v>
      </c>
      <c r="J60" s="42">
        <v>36.950000000000003</v>
      </c>
      <c r="K60" s="171">
        <v>5</v>
      </c>
      <c r="L60" s="42"/>
      <c r="M60" s="53">
        <f t="shared" si="27"/>
        <v>37</v>
      </c>
      <c r="N60" s="82">
        <v>42315</v>
      </c>
      <c r="O60" s="19">
        <v>24950</v>
      </c>
      <c r="P60" s="16" t="s">
        <v>172</v>
      </c>
      <c r="Q60" s="31">
        <v>1792159105001</v>
      </c>
      <c r="R60" s="20"/>
      <c r="S60" s="20">
        <v>53.56</v>
      </c>
      <c r="T60" s="21">
        <f t="shared" si="20"/>
        <v>6.4272</v>
      </c>
      <c r="U60" s="21">
        <f t="shared" si="21"/>
        <v>59.987200000000001</v>
      </c>
      <c r="V60" s="64"/>
      <c r="W60" s="173"/>
      <c r="X60" s="64"/>
      <c r="AW60" s="53">
        <v>59</v>
      </c>
      <c r="AX60" s="85">
        <v>42222</v>
      </c>
      <c r="AY60" s="19">
        <v>96871</v>
      </c>
      <c r="AZ60" s="19" t="s">
        <v>141</v>
      </c>
      <c r="BA60" s="76">
        <v>1790710319001</v>
      </c>
      <c r="BB60" s="21">
        <v>3.08</v>
      </c>
      <c r="BC60" s="21"/>
      <c r="BD60" s="20">
        <f t="shared" si="22"/>
        <v>0</v>
      </c>
      <c r="BE60" s="20">
        <f t="shared" si="23"/>
        <v>3.08</v>
      </c>
    </row>
    <row r="61" spans="1:59">
      <c r="A61" s="53">
        <f t="shared" si="26"/>
        <v>33</v>
      </c>
      <c r="B61" s="82">
        <v>42228</v>
      </c>
      <c r="C61" s="19">
        <v>69756</v>
      </c>
      <c r="D61" s="16" t="s">
        <v>80</v>
      </c>
      <c r="E61" s="40">
        <v>1792040431001</v>
      </c>
      <c r="F61" s="20">
        <v>4.5</v>
      </c>
      <c r="G61" s="20"/>
      <c r="H61" s="20">
        <f t="shared" si="24"/>
        <v>0</v>
      </c>
      <c r="I61" s="20">
        <f t="shared" si="25"/>
        <v>4.5</v>
      </c>
      <c r="J61" s="42"/>
      <c r="K61" s="171"/>
      <c r="L61" s="42"/>
      <c r="M61" s="53">
        <f t="shared" si="27"/>
        <v>38</v>
      </c>
      <c r="N61" s="82">
        <v>42320</v>
      </c>
      <c r="O61" s="19">
        <v>33483</v>
      </c>
      <c r="P61" s="16" t="s">
        <v>173</v>
      </c>
      <c r="Q61" s="31">
        <v>1792159105001</v>
      </c>
      <c r="R61" s="20"/>
      <c r="S61" s="20">
        <v>35.71</v>
      </c>
      <c r="T61" s="21">
        <f t="shared" si="20"/>
        <v>4.2851999999999997</v>
      </c>
      <c r="U61" s="21">
        <f t="shared" si="21"/>
        <v>39.995199999999997</v>
      </c>
      <c r="V61" s="64"/>
      <c r="W61" s="173"/>
      <c r="X61" s="64"/>
      <c r="AW61" s="53">
        <v>60</v>
      </c>
      <c r="AX61" s="85">
        <v>42221</v>
      </c>
      <c r="AY61" s="19">
        <v>96266</v>
      </c>
      <c r="AZ61" s="19" t="s">
        <v>141</v>
      </c>
      <c r="BA61" s="76">
        <v>1790710319001</v>
      </c>
      <c r="BB61" s="21">
        <v>12.83</v>
      </c>
      <c r="BC61" s="21"/>
      <c r="BD61" s="20">
        <f t="shared" si="22"/>
        <v>0</v>
      </c>
      <c r="BE61" s="20">
        <f t="shared" si="23"/>
        <v>12.83</v>
      </c>
    </row>
    <row r="62" spans="1:59">
      <c r="A62" s="53">
        <f t="shared" si="26"/>
        <v>34</v>
      </c>
      <c r="B62" s="82">
        <v>42283</v>
      </c>
      <c r="C62" s="19">
        <v>90458</v>
      </c>
      <c r="D62" s="16" t="s">
        <v>80</v>
      </c>
      <c r="E62" s="40">
        <v>1792040431001</v>
      </c>
      <c r="F62" s="20">
        <v>4.5</v>
      </c>
      <c r="G62" s="20"/>
      <c r="H62" s="20">
        <f t="shared" si="24"/>
        <v>0</v>
      </c>
      <c r="I62" s="20">
        <f t="shared" si="25"/>
        <v>4.5</v>
      </c>
      <c r="J62" s="42"/>
      <c r="K62" s="171"/>
      <c r="L62" s="42"/>
      <c r="M62" s="53">
        <f t="shared" si="27"/>
        <v>39</v>
      </c>
      <c r="N62" s="82">
        <v>42315</v>
      </c>
      <c r="O62" s="19">
        <v>24950</v>
      </c>
      <c r="P62" s="16" t="s">
        <v>173</v>
      </c>
      <c r="Q62" s="31">
        <v>1792159105001</v>
      </c>
      <c r="R62" s="20"/>
      <c r="S62" s="20">
        <v>56.56</v>
      </c>
      <c r="T62" s="21">
        <f t="shared" si="20"/>
        <v>6.7872000000000003</v>
      </c>
      <c r="U62" s="21">
        <f t="shared" si="21"/>
        <v>63.347200000000001</v>
      </c>
      <c r="V62" s="88">
        <v>145.83000000000001</v>
      </c>
      <c r="W62" s="172">
        <v>3</v>
      </c>
      <c r="X62" s="88"/>
      <c r="AW62" s="53">
        <v>61</v>
      </c>
      <c r="AX62" s="85">
        <v>42216</v>
      </c>
      <c r="AY62" s="19">
        <v>94114</v>
      </c>
      <c r="AZ62" s="19" t="s">
        <v>141</v>
      </c>
      <c r="BA62" s="76">
        <v>1790710319001</v>
      </c>
      <c r="BB62" s="21">
        <v>1.03</v>
      </c>
      <c r="BC62" s="21"/>
      <c r="BD62" s="20">
        <f t="shared" si="22"/>
        <v>0</v>
      </c>
      <c r="BE62" s="20">
        <f t="shared" si="23"/>
        <v>1.03</v>
      </c>
    </row>
    <row r="63" spans="1:59">
      <c r="A63" s="53">
        <f t="shared" si="26"/>
        <v>35</v>
      </c>
      <c r="B63" s="82">
        <v>42070</v>
      </c>
      <c r="C63" s="19">
        <v>20705</v>
      </c>
      <c r="D63" s="19" t="s">
        <v>80</v>
      </c>
      <c r="E63" s="40">
        <v>1792040531001</v>
      </c>
      <c r="F63" s="21">
        <v>4.5</v>
      </c>
      <c r="G63" s="16"/>
      <c r="H63" s="20">
        <f t="shared" si="24"/>
        <v>0</v>
      </c>
      <c r="I63" s="20">
        <f t="shared" si="25"/>
        <v>4.5</v>
      </c>
      <c r="J63" s="42"/>
      <c r="K63" s="171"/>
      <c r="L63" s="42"/>
      <c r="M63" s="98">
        <f t="shared" si="27"/>
        <v>40</v>
      </c>
      <c r="N63" s="82">
        <v>42106</v>
      </c>
      <c r="O63" s="19">
        <v>62052</v>
      </c>
      <c r="P63" s="16" t="s">
        <v>133</v>
      </c>
      <c r="Q63" s="31">
        <v>1792275172001</v>
      </c>
      <c r="R63" s="20"/>
      <c r="S63" s="20">
        <v>32.5</v>
      </c>
      <c r="T63" s="20">
        <f t="shared" si="20"/>
        <v>3.9</v>
      </c>
      <c r="U63" s="20">
        <f t="shared" si="21"/>
        <v>36.4</v>
      </c>
      <c r="V63" s="64">
        <v>32.5</v>
      </c>
      <c r="W63" s="173">
        <v>1</v>
      </c>
      <c r="AW63" s="53">
        <v>62</v>
      </c>
      <c r="AX63" s="85">
        <v>42253</v>
      </c>
      <c r="AY63" s="19">
        <v>111404</v>
      </c>
      <c r="AZ63" s="19" t="s">
        <v>141</v>
      </c>
      <c r="BA63" s="76">
        <v>1790710319001</v>
      </c>
      <c r="BB63" s="21">
        <v>12.6</v>
      </c>
      <c r="BC63" s="21"/>
      <c r="BD63" s="20">
        <f t="shared" si="22"/>
        <v>0</v>
      </c>
      <c r="BE63" s="20">
        <f t="shared" si="23"/>
        <v>12.6</v>
      </c>
    </row>
    <row r="64" spans="1:59">
      <c r="A64" s="53">
        <f t="shared" si="26"/>
        <v>36</v>
      </c>
      <c r="B64" s="82">
        <v>42076</v>
      </c>
      <c r="C64" s="19">
        <v>20705</v>
      </c>
      <c r="D64" s="16" t="s">
        <v>80</v>
      </c>
      <c r="E64" s="40">
        <v>1792040531001</v>
      </c>
      <c r="F64" s="20">
        <v>4.5</v>
      </c>
      <c r="G64" s="20"/>
      <c r="H64" s="20">
        <f t="shared" si="24"/>
        <v>0</v>
      </c>
      <c r="I64" s="20">
        <f t="shared" si="25"/>
        <v>4.5</v>
      </c>
      <c r="J64" s="42"/>
      <c r="K64" s="171"/>
      <c r="L64" s="42"/>
      <c r="M64" s="98">
        <f t="shared" si="27"/>
        <v>41</v>
      </c>
      <c r="N64" s="82">
        <v>42246</v>
      </c>
      <c r="O64" s="19">
        <v>33038</v>
      </c>
      <c r="P64" s="16" t="s">
        <v>168</v>
      </c>
      <c r="Q64" s="31">
        <v>1792342783001</v>
      </c>
      <c r="R64" s="20"/>
      <c r="S64" s="20">
        <v>74.069999999999993</v>
      </c>
      <c r="T64" s="21">
        <f t="shared" si="20"/>
        <v>8.888399999999999</v>
      </c>
      <c r="U64" s="21">
        <f t="shared" si="21"/>
        <v>82.958399999999997</v>
      </c>
      <c r="AW64" s="53">
        <v>63</v>
      </c>
      <c r="AX64" s="85">
        <v>42254</v>
      </c>
      <c r="AY64" s="19">
        <v>89206</v>
      </c>
      <c r="AZ64" s="19" t="s">
        <v>141</v>
      </c>
      <c r="BA64" s="76">
        <v>1790710319001</v>
      </c>
      <c r="BB64" s="77">
        <v>2.68</v>
      </c>
      <c r="BC64" s="21"/>
      <c r="BD64" s="20">
        <f t="shared" si="22"/>
        <v>0</v>
      </c>
      <c r="BE64" s="20">
        <f t="shared" si="23"/>
        <v>2.68</v>
      </c>
    </row>
    <row r="65" spans="1:59">
      <c r="A65" s="53">
        <f t="shared" si="26"/>
        <v>37</v>
      </c>
      <c r="B65" s="82">
        <v>42087</v>
      </c>
      <c r="C65" s="19">
        <v>22660</v>
      </c>
      <c r="D65" s="16" t="s">
        <v>80</v>
      </c>
      <c r="E65" s="40">
        <v>1792040531001</v>
      </c>
      <c r="F65" s="20">
        <v>4.5</v>
      </c>
      <c r="G65" s="20"/>
      <c r="H65" s="20">
        <f t="shared" si="24"/>
        <v>0</v>
      </c>
      <c r="I65" s="20">
        <f t="shared" si="25"/>
        <v>4.5</v>
      </c>
      <c r="J65" s="42"/>
      <c r="K65" s="171"/>
      <c r="L65" s="42"/>
      <c r="M65" s="98">
        <f t="shared" si="27"/>
        <v>42</v>
      </c>
      <c r="N65" s="82">
        <v>42275</v>
      </c>
      <c r="O65" s="19">
        <v>33134</v>
      </c>
      <c r="P65" s="16" t="s">
        <v>168</v>
      </c>
      <c r="Q65" s="31">
        <v>1792342783001</v>
      </c>
      <c r="R65" s="20"/>
      <c r="S65" s="20">
        <v>80.34</v>
      </c>
      <c r="T65" s="21">
        <f t="shared" si="20"/>
        <v>9.6408000000000005</v>
      </c>
      <c r="U65" s="21">
        <f t="shared" si="21"/>
        <v>89.980800000000002</v>
      </c>
      <c r="AW65" s="53">
        <v>64</v>
      </c>
      <c r="AX65" s="85">
        <v>42304</v>
      </c>
      <c r="AY65" s="19">
        <v>118453</v>
      </c>
      <c r="AZ65" s="19" t="s">
        <v>141</v>
      </c>
      <c r="BA65" s="76">
        <v>1790710319001</v>
      </c>
      <c r="BB65" s="77">
        <v>2.9</v>
      </c>
      <c r="BC65" s="21"/>
      <c r="BD65" s="20">
        <f t="shared" si="22"/>
        <v>0</v>
      </c>
      <c r="BE65" s="20">
        <f t="shared" si="23"/>
        <v>2.9</v>
      </c>
    </row>
    <row r="66" spans="1:59">
      <c r="A66" s="53">
        <f t="shared" si="26"/>
        <v>38</v>
      </c>
      <c r="B66" s="82">
        <v>42089</v>
      </c>
      <c r="C66" s="19">
        <v>23536</v>
      </c>
      <c r="D66" s="16" t="s">
        <v>80</v>
      </c>
      <c r="E66" s="40">
        <v>1792040531001</v>
      </c>
      <c r="F66" s="20">
        <v>4.6100000000000003</v>
      </c>
      <c r="G66" s="20"/>
      <c r="H66" s="20">
        <f t="shared" si="24"/>
        <v>0</v>
      </c>
      <c r="I66" s="20">
        <f t="shared" si="25"/>
        <v>4.6100000000000003</v>
      </c>
      <c r="J66" s="42"/>
      <c r="K66" s="171"/>
      <c r="L66" s="42"/>
      <c r="M66" s="98">
        <f t="shared" si="27"/>
        <v>43</v>
      </c>
      <c r="N66" s="82">
        <v>42247</v>
      </c>
      <c r="O66" s="19">
        <v>33493</v>
      </c>
      <c r="P66" s="16" t="s">
        <v>168</v>
      </c>
      <c r="Q66" s="31">
        <v>1792342783001</v>
      </c>
      <c r="R66" s="20"/>
      <c r="S66" s="20">
        <v>8.92</v>
      </c>
      <c r="T66" s="21">
        <f t="shared" si="20"/>
        <v>1.0704</v>
      </c>
      <c r="U66" s="21">
        <f t="shared" si="21"/>
        <v>9.9903999999999993</v>
      </c>
      <c r="V66">
        <v>163.33000000000001</v>
      </c>
      <c r="W66" s="168">
        <v>3</v>
      </c>
      <c r="AW66" s="53">
        <v>65</v>
      </c>
      <c r="AX66" s="85">
        <v>42080</v>
      </c>
      <c r="AY66" s="19">
        <v>26730</v>
      </c>
      <c r="AZ66" s="19" t="s">
        <v>109</v>
      </c>
      <c r="BA66" s="76">
        <v>1790710319001</v>
      </c>
      <c r="BB66" s="21">
        <v>108.9</v>
      </c>
      <c r="BC66" s="21"/>
      <c r="BD66" s="20">
        <f t="shared" si="22"/>
        <v>0</v>
      </c>
      <c r="BE66" s="20">
        <f t="shared" si="23"/>
        <v>108.9</v>
      </c>
      <c r="BF66">
        <v>272.37</v>
      </c>
      <c r="BG66">
        <v>13</v>
      </c>
    </row>
    <row r="67" spans="1:59">
      <c r="A67" s="53">
        <f t="shared" si="26"/>
        <v>39</v>
      </c>
      <c r="B67" s="82">
        <v>42093</v>
      </c>
      <c r="C67" s="19">
        <v>24906</v>
      </c>
      <c r="D67" s="16" t="s">
        <v>80</v>
      </c>
      <c r="E67" s="40">
        <v>1792040531001</v>
      </c>
      <c r="F67" s="21">
        <v>4.6100000000000003</v>
      </c>
      <c r="G67" s="20"/>
      <c r="H67" s="20">
        <f t="shared" si="24"/>
        <v>0</v>
      </c>
      <c r="I67" s="20">
        <f t="shared" si="25"/>
        <v>4.6100000000000003</v>
      </c>
      <c r="J67" s="42"/>
      <c r="K67" s="171"/>
      <c r="L67" s="42"/>
      <c r="M67" s="98">
        <f t="shared" si="27"/>
        <v>44</v>
      </c>
      <c r="N67" s="82">
        <v>42294</v>
      </c>
      <c r="O67" s="19">
        <v>19687</v>
      </c>
      <c r="P67" s="16" t="s">
        <v>170</v>
      </c>
      <c r="Q67" s="31">
        <v>1792342783001</v>
      </c>
      <c r="R67" s="20"/>
      <c r="S67" s="20">
        <v>35.71</v>
      </c>
      <c r="T67" s="21">
        <f t="shared" si="20"/>
        <v>4.2851999999999997</v>
      </c>
      <c r="U67" s="21">
        <f t="shared" si="21"/>
        <v>39.995199999999997</v>
      </c>
      <c r="AW67" s="53">
        <v>67</v>
      </c>
      <c r="AX67" s="85">
        <v>42186</v>
      </c>
      <c r="AY67" s="19">
        <v>226800</v>
      </c>
      <c r="AZ67" s="19" t="s">
        <v>116</v>
      </c>
      <c r="BA67" s="76">
        <v>1791415132001</v>
      </c>
      <c r="BB67" s="21"/>
      <c r="BC67" s="21">
        <v>14.05</v>
      </c>
      <c r="BD67" s="20">
        <f t="shared" si="22"/>
        <v>1.6859999999999999</v>
      </c>
      <c r="BE67" s="20">
        <f t="shared" si="23"/>
        <v>15.736000000000001</v>
      </c>
      <c r="BF67">
        <v>14.05</v>
      </c>
      <c r="BG67">
        <v>1</v>
      </c>
    </row>
    <row r="68" spans="1:59">
      <c r="A68" s="53">
        <f t="shared" si="26"/>
        <v>40</v>
      </c>
      <c r="B68" s="82">
        <v>42094</v>
      </c>
      <c r="C68" s="19">
        <v>24952</v>
      </c>
      <c r="D68" s="16" t="s">
        <v>80</v>
      </c>
      <c r="E68" s="40">
        <v>1792040531001</v>
      </c>
      <c r="F68" s="20">
        <v>4.5</v>
      </c>
      <c r="G68" s="20"/>
      <c r="H68" s="20">
        <f t="shared" si="24"/>
        <v>0</v>
      </c>
      <c r="I68" s="20">
        <f t="shared" si="25"/>
        <v>4.5</v>
      </c>
      <c r="J68" s="42"/>
      <c r="K68" s="171"/>
      <c r="L68" s="42"/>
      <c r="M68" s="53">
        <f t="shared" si="27"/>
        <v>45</v>
      </c>
      <c r="N68" s="82">
        <v>42320</v>
      </c>
      <c r="O68" s="19">
        <v>32751</v>
      </c>
      <c r="P68" s="16" t="s">
        <v>170</v>
      </c>
      <c r="Q68" s="31">
        <v>1792342783001</v>
      </c>
      <c r="R68" s="20"/>
      <c r="S68" s="20">
        <v>80.349999999999994</v>
      </c>
      <c r="T68" s="21">
        <f t="shared" si="20"/>
        <v>9.6419999999999995</v>
      </c>
      <c r="U68" s="21">
        <f t="shared" si="21"/>
        <v>89.99199999999999</v>
      </c>
      <c r="AW68" s="53">
        <v>69</v>
      </c>
      <c r="AX68" s="85">
        <v>42168</v>
      </c>
      <c r="AY68" s="19">
        <v>15213</v>
      </c>
      <c r="AZ68" s="19" t="s">
        <v>193</v>
      </c>
      <c r="BA68" s="76">
        <v>1791715772001</v>
      </c>
      <c r="BB68" s="21">
        <v>4.66</v>
      </c>
      <c r="BC68" s="21">
        <v>25.27</v>
      </c>
      <c r="BD68" s="20">
        <f t="shared" si="22"/>
        <v>3.0324</v>
      </c>
      <c r="BE68" s="20">
        <f t="shared" si="23"/>
        <v>32.962400000000002</v>
      </c>
      <c r="BF68" s="95">
        <v>29.93</v>
      </c>
      <c r="BG68" s="95">
        <v>1</v>
      </c>
    </row>
    <row r="69" spans="1:59">
      <c r="A69" s="53">
        <f t="shared" si="26"/>
        <v>41</v>
      </c>
      <c r="B69" s="82">
        <v>42095</v>
      </c>
      <c r="C69" s="19">
        <v>25370</v>
      </c>
      <c r="D69" s="16" t="s">
        <v>80</v>
      </c>
      <c r="E69" s="40">
        <v>1792040531001</v>
      </c>
      <c r="F69" s="20">
        <v>4.6100000000000003</v>
      </c>
      <c r="G69" s="20"/>
      <c r="H69" s="20">
        <f t="shared" si="24"/>
        <v>0</v>
      </c>
      <c r="I69" s="20">
        <f t="shared" si="25"/>
        <v>4.6100000000000003</v>
      </c>
      <c r="J69" s="42"/>
      <c r="K69" s="171"/>
      <c r="L69" s="42"/>
      <c r="M69" s="53">
        <f t="shared" si="27"/>
        <v>46</v>
      </c>
      <c r="N69" s="82">
        <v>42359</v>
      </c>
      <c r="O69" s="19">
        <v>37571</v>
      </c>
      <c r="P69" s="16" t="s">
        <v>170</v>
      </c>
      <c r="Q69" s="31">
        <v>1792342783001</v>
      </c>
      <c r="R69" s="20"/>
      <c r="S69" s="20">
        <v>44.63</v>
      </c>
      <c r="T69" s="21">
        <f t="shared" ref="T69:T75" si="28">+S69*0.12</f>
        <v>5.3555999999999999</v>
      </c>
      <c r="U69" s="21">
        <f t="shared" ref="U69:U75" si="29">+R69+S69+T69</f>
        <v>49.985600000000005</v>
      </c>
      <c r="AW69" s="53">
        <v>70</v>
      </c>
      <c r="AX69" s="85">
        <v>42042</v>
      </c>
      <c r="AY69" s="19">
        <v>2555</v>
      </c>
      <c r="AZ69" s="19" t="s">
        <v>111</v>
      </c>
      <c r="BA69" s="76">
        <v>1791738233001</v>
      </c>
      <c r="BB69" s="21">
        <v>1.7</v>
      </c>
      <c r="BC69" s="21"/>
      <c r="BD69" s="20">
        <f t="shared" ref="BD69:BD86" si="30">+BC69*0.12</f>
        <v>0</v>
      </c>
      <c r="BE69" s="20">
        <f t="shared" ref="BE69:BE86" si="31">+BB69+BC69+BD69</f>
        <v>1.7</v>
      </c>
      <c r="BF69">
        <v>1.7</v>
      </c>
      <c r="BG69">
        <v>1</v>
      </c>
    </row>
    <row r="70" spans="1:59">
      <c r="A70" s="53">
        <f t="shared" si="26"/>
        <v>42</v>
      </c>
      <c r="B70" s="82">
        <v>42096</v>
      </c>
      <c r="C70" s="19">
        <v>25841</v>
      </c>
      <c r="D70" s="16" t="s">
        <v>80</v>
      </c>
      <c r="E70" s="40">
        <v>1792040531001</v>
      </c>
      <c r="F70" s="20">
        <v>4.6100000000000003</v>
      </c>
      <c r="G70" s="20"/>
      <c r="H70" s="20">
        <f t="shared" si="24"/>
        <v>0</v>
      </c>
      <c r="I70" s="20">
        <f t="shared" si="25"/>
        <v>4.6100000000000003</v>
      </c>
      <c r="J70" s="42"/>
      <c r="K70" s="171"/>
      <c r="L70" s="42"/>
      <c r="M70" s="53">
        <f t="shared" si="27"/>
        <v>47</v>
      </c>
      <c r="N70" s="82">
        <v>42352</v>
      </c>
      <c r="O70" s="19">
        <v>29265</v>
      </c>
      <c r="P70" s="16" t="s">
        <v>170</v>
      </c>
      <c r="Q70" s="31">
        <v>1792342783001</v>
      </c>
      <c r="R70" s="20"/>
      <c r="S70" s="20">
        <v>35.71</v>
      </c>
      <c r="T70" s="21">
        <f t="shared" si="28"/>
        <v>4.2851999999999997</v>
      </c>
      <c r="U70" s="21">
        <f t="shared" si="29"/>
        <v>39.995199999999997</v>
      </c>
      <c r="V70">
        <v>359.73</v>
      </c>
      <c r="W70" s="168">
        <v>7</v>
      </c>
      <c r="AW70" s="53">
        <v>71</v>
      </c>
      <c r="AX70" s="82">
        <v>42011</v>
      </c>
      <c r="AY70" s="19">
        <v>1290</v>
      </c>
      <c r="AZ70" s="16" t="s">
        <v>106</v>
      </c>
      <c r="BA70" s="31">
        <v>1791751604001</v>
      </c>
      <c r="BB70" s="20">
        <v>2.5299999999999998</v>
      </c>
      <c r="BC70" s="21"/>
      <c r="BD70" s="20">
        <f t="shared" si="30"/>
        <v>0</v>
      </c>
      <c r="BE70" s="20">
        <f t="shared" si="31"/>
        <v>2.5299999999999998</v>
      </c>
      <c r="BF70">
        <v>2.5299999999999998</v>
      </c>
      <c r="BG70">
        <v>1</v>
      </c>
    </row>
    <row r="71" spans="1:59">
      <c r="A71" s="53">
        <f t="shared" si="26"/>
        <v>43</v>
      </c>
      <c r="B71" s="82">
        <v>42100</v>
      </c>
      <c r="C71" s="19">
        <v>26944</v>
      </c>
      <c r="D71" s="16" t="s">
        <v>80</v>
      </c>
      <c r="E71" s="40">
        <v>1792040531001</v>
      </c>
      <c r="F71" s="20">
        <v>4.6100000000000003</v>
      </c>
      <c r="G71" s="20"/>
      <c r="H71" s="20">
        <f t="shared" si="24"/>
        <v>0</v>
      </c>
      <c r="I71" s="20">
        <f t="shared" si="25"/>
        <v>4.6100000000000003</v>
      </c>
      <c r="J71" s="42"/>
      <c r="K71" s="171"/>
      <c r="L71" s="42"/>
      <c r="M71" s="53">
        <f t="shared" si="27"/>
        <v>48</v>
      </c>
      <c r="N71" s="82">
        <v>38692</v>
      </c>
      <c r="O71" s="19">
        <v>9487</v>
      </c>
      <c r="P71" s="16" t="s">
        <v>180</v>
      </c>
      <c r="Q71" s="31">
        <v>1792418135001</v>
      </c>
      <c r="R71" s="20"/>
      <c r="S71" s="20">
        <v>8.0299999999999994</v>
      </c>
      <c r="T71" s="21">
        <f t="shared" si="28"/>
        <v>0.9635999999999999</v>
      </c>
      <c r="U71" s="21">
        <f t="shared" si="29"/>
        <v>8.9935999999999989</v>
      </c>
      <c r="V71">
        <v>8.0299999999999994</v>
      </c>
      <c r="W71" s="168">
        <v>1</v>
      </c>
      <c r="AW71" s="53">
        <v>72</v>
      </c>
      <c r="AX71" s="85">
        <v>42081</v>
      </c>
      <c r="AY71" s="19">
        <v>17810</v>
      </c>
      <c r="AZ71" s="19" t="s">
        <v>113</v>
      </c>
      <c r="BA71" s="76">
        <v>1791769732001</v>
      </c>
      <c r="BB71" s="21">
        <v>6.15</v>
      </c>
      <c r="BC71" s="21"/>
      <c r="BD71" s="20">
        <f t="shared" si="30"/>
        <v>0</v>
      </c>
      <c r="BE71" s="20">
        <f t="shared" si="31"/>
        <v>6.15</v>
      </c>
      <c r="BF71">
        <v>6.15</v>
      </c>
      <c r="BG71">
        <v>1</v>
      </c>
    </row>
    <row r="72" spans="1:59">
      <c r="A72" s="53">
        <f t="shared" si="26"/>
        <v>44</v>
      </c>
      <c r="B72" s="82">
        <v>42101</v>
      </c>
      <c r="C72" s="19">
        <v>27062</v>
      </c>
      <c r="D72" s="16" t="s">
        <v>80</v>
      </c>
      <c r="E72" s="40">
        <v>1792040531001</v>
      </c>
      <c r="F72" s="20">
        <v>4.6100000000000003</v>
      </c>
      <c r="G72" s="20"/>
      <c r="H72" s="20">
        <f t="shared" si="24"/>
        <v>0</v>
      </c>
      <c r="I72" s="20">
        <f t="shared" si="25"/>
        <v>4.6100000000000003</v>
      </c>
      <c r="J72" s="42"/>
      <c r="K72" s="171"/>
      <c r="L72" s="42"/>
      <c r="M72" s="53">
        <f t="shared" si="27"/>
        <v>49</v>
      </c>
      <c r="N72" s="104">
        <v>42006</v>
      </c>
      <c r="O72" s="105">
        <v>16460</v>
      </c>
      <c r="P72" s="103" t="s">
        <v>127</v>
      </c>
      <c r="Q72" s="99">
        <v>1802883015001</v>
      </c>
      <c r="R72" s="102"/>
      <c r="S72" s="102">
        <v>202.68</v>
      </c>
      <c r="T72" s="100">
        <f t="shared" si="28"/>
        <v>24.3216</v>
      </c>
      <c r="U72" s="100">
        <f t="shared" si="29"/>
        <v>227.0016</v>
      </c>
      <c r="V72">
        <v>202.68</v>
      </c>
      <c r="W72" s="168">
        <v>1</v>
      </c>
      <c r="AW72" s="53">
        <v>75</v>
      </c>
      <c r="AX72" s="85">
        <v>42023</v>
      </c>
      <c r="AY72" s="19">
        <v>725172</v>
      </c>
      <c r="AZ72" s="19" t="s">
        <v>108</v>
      </c>
      <c r="BA72" s="76">
        <v>1792060346001</v>
      </c>
      <c r="BB72" s="21">
        <v>7.97</v>
      </c>
      <c r="BC72" s="21"/>
      <c r="BD72" s="20">
        <f t="shared" si="30"/>
        <v>0</v>
      </c>
      <c r="BE72" s="20">
        <f t="shared" si="31"/>
        <v>7.97</v>
      </c>
    </row>
    <row r="73" spans="1:59">
      <c r="A73" s="53">
        <f t="shared" si="26"/>
        <v>45</v>
      </c>
      <c r="B73" s="82">
        <v>42146</v>
      </c>
      <c r="C73" s="19">
        <v>43439</v>
      </c>
      <c r="D73" s="16" t="s">
        <v>80</v>
      </c>
      <c r="E73" s="40">
        <v>1792040531001</v>
      </c>
      <c r="F73" s="20">
        <v>4.5</v>
      </c>
      <c r="G73" s="20"/>
      <c r="H73" s="20">
        <f t="shared" si="24"/>
        <v>0</v>
      </c>
      <c r="I73" s="20">
        <f t="shared" si="25"/>
        <v>4.5</v>
      </c>
      <c r="J73" s="88"/>
      <c r="K73" s="172"/>
      <c r="L73" s="42"/>
      <c r="M73" s="53">
        <f t="shared" si="27"/>
        <v>50</v>
      </c>
      <c r="N73" s="85">
        <v>42006</v>
      </c>
      <c r="O73" s="19">
        <v>3181</v>
      </c>
      <c r="P73" s="19" t="s">
        <v>212</v>
      </c>
      <c r="Q73" s="76">
        <v>1803069937001</v>
      </c>
      <c r="R73" s="21"/>
      <c r="S73" s="21">
        <v>116.96</v>
      </c>
      <c r="T73" s="20">
        <f t="shared" si="28"/>
        <v>14.035199999999998</v>
      </c>
      <c r="U73" s="21">
        <f t="shared" si="29"/>
        <v>130.99519999999998</v>
      </c>
      <c r="V73">
        <v>116.96</v>
      </c>
      <c r="W73" s="168">
        <v>1</v>
      </c>
      <c r="AW73" s="53">
        <v>76</v>
      </c>
      <c r="AX73" s="85">
        <v>42018</v>
      </c>
      <c r="AY73" s="19">
        <v>752875</v>
      </c>
      <c r="AZ73" s="19" t="s">
        <v>108</v>
      </c>
      <c r="BA73" s="76">
        <v>1792060346001</v>
      </c>
      <c r="BB73" s="21">
        <v>15</v>
      </c>
      <c r="BC73" s="21"/>
      <c r="BD73" s="20">
        <f t="shared" si="30"/>
        <v>0</v>
      </c>
      <c r="BE73" s="20">
        <f t="shared" si="31"/>
        <v>15</v>
      </c>
    </row>
    <row r="74" spans="1:59">
      <c r="A74" s="53">
        <f t="shared" si="26"/>
        <v>46</v>
      </c>
      <c r="B74" s="82">
        <v>42118</v>
      </c>
      <c r="C74" s="58">
        <v>42537</v>
      </c>
      <c r="D74" s="16" t="s">
        <v>80</v>
      </c>
      <c r="E74" s="40">
        <v>1792040531001</v>
      </c>
      <c r="F74" s="20">
        <v>6.02</v>
      </c>
      <c r="G74" s="20"/>
      <c r="H74" s="20">
        <f t="shared" si="24"/>
        <v>0</v>
      </c>
      <c r="I74" s="20">
        <f t="shared" si="25"/>
        <v>6.02</v>
      </c>
      <c r="L74" s="88"/>
      <c r="M74" s="53">
        <f t="shared" si="27"/>
        <v>51</v>
      </c>
      <c r="N74" s="85">
        <v>42210</v>
      </c>
      <c r="O74" s="19">
        <v>9644</v>
      </c>
      <c r="P74" s="19" t="s">
        <v>211</v>
      </c>
      <c r="Q74" s="76">
        <v>1803235892001</v>
      </c>
      <c r="R74" s="21">
        <v>99</v>
      </c>
      <c r="S74" s="21"/>
      <c r="T74" s="20">
        <f t="shared" si="28"/>
        <v>0</v>
      </c>
      <c r="U74" s="21">
        <f t="shared" si="29"/>
        <v>99</v>
      </c>
      <c r="AW74" s="53">
        <v>77</v>
      </c>
      <c r="AX74" s="85">
        <v>42041</v>
      </c>
      <c r="AY74" s="19">
        <v>733203</v>
      </c>
      <c r="AZ74" s="19" t="s">
        <v>108</v>
      </c>
      <c r="BA74" s="76">
        <v>1792060346001</v>
      </c>
      <c r="BB74" s="21">
        <v>8.81</v>
      </c>
      <c r="BC74" s="21"/>
      <c r="BD74" s="20">
        <f t="shared" si="30"/>
        <v>0</v>
      </c>
      <c r="BE74" s="20">
        <f t="shared" si="31"/>
        <v>8.81</v>
      </c>
    </row>
    <row r="75" spans="1:59">
      <c r="A75" s="53">
        <v>31</v>
      </c>
      <c r="B75" s="82">
        <v>42187</v>
      </c>
      <c r="C75" s="19">
        <v>56821</v>
      </c>
      <c r="D75" s="16" t="s">
        <v>80</v>
      </c>
      <c r="E75" s="40">
        <v>1792040531001</v>
      </c>
      <c r="F75" s="20">
        <v>4.6100000000000003</v>
      </c>
      <c r="G75" s="20"/>
      <c r="H75" s="20">
        <f t="shared" si="24"/>
        <v>0</v>
      </c>
      <c r="I75" s="20">
        <f t="shared" si="25"/>
        <v>4.6100000000000003</v>
      </c>
      <c r="M75" s="53">
        <f t="shared" si="27"/>
        <v>52</v>
      </c>
      <c r="N75" s="85">
        <v>42267</v>
      </c>
      <c r="O75" s="19">
        <v>10012</v>
      </c>
      <c r="P75" s="19" t="s">
        <v>211</v>
      </c>
      <c r="Q75" s="76">
        <v>1803235892001</v>
      </c>
      <c r="R75" s="21">
        <v>190</v>
      </c>
      <c r="S75" s="21"/>
      <c r="T75" s="20">
        <f t="shared" si="28"/>
        <v>0</v>
      </c>
      <c r="U75" s="21">
        <f t="shared" si="29"/>
        <v>190</v>
      </c>
      <c r="V75">
        <v>289</v>
      </c>
      <c r="W75" s="168">
        <v>2</v>
      </c>
      <c r="AW75" s="53">
        <v>78</v>
      </c>
      <c r="AX75" s="85">
        <v>42059</v>
      </c>
      <c r="AY75" s="19">
        <v>115044</v>
      </c>
      <c r="AZ75" s="19" t="s">
        <v>108</v>
      </c>
      <c r="BA75" s="76">
        <v>1792060346001</v>
      </c>
      <c r="BB75" s="21">
        <v>205.57</v>
      </c>
      <c r="BC75" s="21"/>
      <c r="BD75" s="20">
        <f t="shared" si="30"/>
        <v>0</v>
      </c>
      <c r="BE75" s="20">
        <f t="shared" si="31"/>
        <v>205.57</v>
      </c>
    </row>
    <row r="76" spans="1:59">
      <c r="A76" s="53">
        <v>32</v>
      </c>
      <c r="B76" s="82">
        <v>42181</v>
      </c>
      <c r="C76" s="19">
        <v>26696</v>
      </c>
      <c r="D76" s="16" t="s">
        <v>80</v>
      </c>
      <c r="E76" s="40">
        <v>1792040531001</v>
      </c>
      <c r="F76" s="20">
        <v>4.5</v>
      </c>
      <c r="G76" s="20"/>
      <c r="H76" s="20">
        <f t="shared" si="24"/>
        <v>0</v>
      </c>
      <c r="I76" s="20">
        <f t="shared" si="25"/>
        <v>4.5</v>
      </c>
      <c r="R76" s="113">
        <f>SUM(R5:R75)</f>
        <v>491</v>
      </c>
      <c r="S76" s="113">
        <f>SUM(S5:S75)</f>
        <v>2891.9800000000005</v>
      </c>
      <c r="T76" s="113">
        <f>SUM(T5:T75)</f>
        <v>347.03759999999988</v>
      </c>
      <c r="U76" s="113">
        <f>SUM(U5:U75)</f>
        <v>3730.0176000000001</v>
      </c>
      <c r="AW76" s="53">
        <v>79</v>
      </c>
      <c r="AX76" s="85">
        <v>42107</v>
      </c>
      <c r="AY76" s="19">
        <v>221536</v>
      </c>
      <c r="AZ76" s="19" t="s">
        <v>108</v>
      </c>
      <c r="BA76" s="76">
        <v>1792060346001</v>
      </c>
      <c r="BB76" s="21">
        <v>254.87</v>
      </c>
      <c r="BC76" s="21"/>
      <c r="BD76" s="20">
        <f t="shared" si="30"/>
        <v>0</v>
      </c>
      <c r="BE76" s="20">
        <f t="shared" si="31"/>
        <v>254.87</v>
      </c>
    </row>
    <row r="77" spans="1:59">
      <c r="A77" s="53">
        <v>33</v>
      </c>
      <c r="B77" s="82">
        <v>42186</v>
      </c>
      <c r="C77" s="19">
        <v>56763</v>
      </c>
      <c r="D77" s="16" t="s">
        <v>80</v>
      </c>
      <c r="E77" s="40">
        <v>1792040531001</v>
      </c>
      <c r="F77" s="20">
        <v>4.6100000000000003</v>
      </c>
      <c r="G77" s="20"/>
      <c r="H77" s="20">
        <f t="shared" si="24"/>
        <v>0</v>
      </c>
      <c r="I77" s="20">
        <f t="shared" si="25"/>
        <v>4.6100000000000003</v>
      </c>
      <c r="J77" s="64"/>
      <c r="K77" s="173"/>
      <c r="R77" s="15"/>
      <c r="S77" s="15"/>
      <c r="T77" s="15"/>
      <c r="U77" s="15"/>
      <c r="AW77" s="53">
        <f>+AW76+1</f>
        <v>80</v>
      </c>
      <c r="AX77" s="85">
        <v>42141</v>
      </c>
      <c r="AY77" s="19">
        <v>215488</v>
      </c>
      <c r="AZ77" s="19" t="s">
        <v>108</v>
      </c>
      <c r="BA77" s="76">
        <v>1792060346001</v>
      </c>
      <c r="BB77" s="21">
        <v>191.23</v>
      </c>
      <c r="BC77" s="21"/>
      <c r="BD77" s="20">
        <f t="shared" si="30"/>
        <v>0</v>
      </c>
      <c r="BE77" s="20">
        <f t="shared" si="31"/>
        <v>191.23</v>
      </c>
    </row>
    <row r="78" spans="1:59">
      <c r="A78" s="53">
        <v>34</v>
      </c>
      <c r="B78" s="82">
        <v>42185</v>
      </c>
      <c r="C78" s="19">
        <v>56067</v>
      </c>
      <c r="D78" s="16" t="s">
        <v>80</v>
      </c>
      <c r="E78" s="40">
        <v>1792040531001</v>
      </c>
      <c r="F78" s="20">
        <v>4.6100000000000003</v>
      </c>
      <c r="G78" s="20"/>
      <c r="H78" s="20">
        <f t="shared" si="24"/>
        <v>0</v>
      </c>
      <c r="I78" s="20">
        <f t="shared" si="25"/>
        <v>4.6100000000000003</v>
      </c>
      <c r="J78" s="64"/>
      <c r="K78" s="173"/>
      <c r="L78" s="64"/>
      <c r="R78" s="114">
        <f>+R76+S76</f>
        <v>3382.9800000000005</v>
      </c>
      <c r="S78" s="15"/>
      <c r="T78" s="15"/>
      <c r="U78" s="15"/>
      <c r="V78" s="165">
        <f>SUM(V5:V76)</f>
        <v>3546.2999999999997</v>
      </c>
      <c r="AW78" s="53">
        <f t="shared" ref="AW78:AW86" si="32">+AW77+1</f>
        <v>81</v>
      </c>
      <c r="AX78" s="85">
        <v>42149</v>
      </c>
      <c r="AY78" s="19">
        <v>162840</v>
      </c>
      <c r="AZ78" s="19" t="s">
        <v>108</v>
      </c>
      <c r="BA78" s="76">
        <v>1792060346001</v>
      </c>
      <c r="BB78" s="21">
        <v>207.24</v>
      </c>
      <c r="BC78" s="21"/>
      <c r="BD78" s="20">
        <f t="shared" si="30"/>
        <v>0</v>
      </c>
      <c r="BE78" s="20">
        <f t="shared" si="31"/>
        <v>207.24</v>
      </c>
    </row>
    <row r="79" spans="1:59">
      <c r="A79" s="53">
        <v>35</v>
      </c>
      <c r="B79" s="82">
        <v>42184</v>
      </c>
      <c r="C79" s="19">
        <v>55738</v>
      </c>
      <c r="D79" s="16" t="s">
        <v>80</v>
      </c>
      <c r="E79" s="40">
        <v>1792040531001</v>
      </c>
      <c r="F79" s="20">
        <v>4.6100000000000003</v>
      </c>
      <c r="G79" s="20"/>
      <c r="H79" s="20">
        <f t="shared" si="24"/>
        <v>0</v>
      </c>
      <c r="I79" s="20">
        <f t="shared" si="25"/>
        <v>4.6100000000000003</v>
      </c>
      <c r="L79" s="64"/>
      <c r="AW79" s="53">
        <f t="shared" si="32"/>
        <v>82</v>
      </c>
      <c r="AX79" s="85">
        <v>42149</v>
      </c>
      <c r="AY79" s="19">
        <v>1911553</v>
      </c>
      <c r="AZ79" s="19" t="s">
        <v>108</v>
      </c>
      <c r="BA79" s="76">
        <v>1792060346001</v>
      </c>
      <c r="BB79" s="21">
        <v>236.6</v>
      </c>
      <c r="BC79" s="21"/>
      <c r="BD79" s="20">
        <f t="shared" si="30"/>
        <v>0</v>
      </c>
      <c r="BE79" s="20">
        <f t="shared" si="31"/>
        <v>236.6</v>
      </c>
    </row>
    <row r="80" spans="1:59">
      <c r="A80" s="53">
        <v>36</v>
      </c>
      <c r="B80" s="82">
        <v>42188</v>
      </c>
      <c r="C80" s="19">
        <v>57260</v>
      </c>
      <c r="D80" s="16" t="s">
        <v>80</v>
      </c>
      <c r="E80" s="40">
        <v>1792040531001</v>
      </c>
      <c r="F80" s="20">
        <v>4.6100000000000003</v>
      </c>
      <c r="G80" s="20"/>
      <c r="H80" s="20">
        <f t="shared" si="24"/>
        <v>0</v>
      </c>
      <c r="I80" s="20">
        <f t="shared" si="25"/>
        <v>4.6100000000000003</v>
      </c>
      <c r="AW80" s="53">
        <f t="shared" si="32"/>
        <v>83</v>
      </c>
      <c r="AX80" s="85">
        <v>42270</v>
      </c>
      <c r="AY80" s="19">
        <v>239749</v>
      </c>
      <c r="AZ80" s="19" t="s">
        <v>108</v>
      </c>
      <c r="BA80" s="76">
        <v>1792060346001</v>
      </c>
      <c r="BB80" s="77">
        <v>221.1</v>
      </c>
      <c r="BC80" s="21"/>
      <c r="BD80" s="20">
        <f t="shared" si="30"/>
        <v>0</v>
      </c>
      <c r="BE80" s="20">
        <f t="shared" si="31"/>
        <v>221.1</v>
      </c>
    </row>
    <row r="81" spans="1:59">
      <c r="A81" s="53">
        <f>+A80+1</f>
        <v>37</v>
      </c>
      <c r="B81" s="82">
        <v>42189</v>
      </c>
      <c r="C81" s="19">
        <v>57564</v>
      </c>
      <c r="D81" s="16" t="s">
        <v>80</v>
      </c>
      <c r="E81" s="40">
        <v>1792040531001</v>
      </c>
      <c r="F81" s="20">
        <v>4.6100000000000003</v>
      </c>
      <c r="G81" s="20"/>
      <c r="H81" s="20">
        <f t="shared" si="24"/>
        <v>0</v>
      </c>
      <c r="I81" s="20">
        <f t="shared" si="25"/>
        <v>4.6100000000000003</v>
      </c>
      <c r="AW81" s="53">
        <f t="shared" si="32"/>
        <v>84</v>
      </c>
      <c r="AX81" s="85">
        <v>42316</v>
      </c>
      <c r="AY81" s="19">
        <v>278354</v>
      </c>
      <c r="AZ81" s="19" t="s">
        <v>108</v>
      </c>
      <c r="BA81" s="76">
        <v>1792060346001</v>
      </c>
      <c r="BB81" s="77">
        <v>165.97</v>
      </c>
      <c r="BC81" s="21"/>
      <c r="BD81" s="20">
        <f t="shared" si="30"/>
        <v>0</v>
      </c>
      <c r="BE81" s="20">
        <f t="shared" si="31"/>
        <v>165.97</v>
      </c>
    </row>
    <row r="82" spans="1:59">
      <c r="A82" s="53">
        <f>+A81+1</f>
        <v>38</v>
      </c>
      <c r="B82" s="82">
        <v>42193</v>
      </c>
      <c r="C82" s="19">
        <v>57864</v>
      </c>
      <c r="D82" s="16" t="s">
        <v>80</v>
      </c>
      <c r="E82" s="40">
        <v>1792040531001</v>
      </c>
      <c r="F82" s="20">
        <v>4.6100000000000003</v>
      </c>
      <c r="G82" s="20"/>
      <c r="H82" s="20">
        <f t="shared" si="24"/>
        <v>0</v>
      </c>
      <c r="I82" s="20">
        <f t="shared" si="25"/>
        <v>4.6100000000000003</v>
      </c>
      <c r="AW82" s="53">
        <f t="shared" si="32"/>
        <v>85</v>
      </c>
      <c r="AX82" s="85">
        <v>42206</v>
      </c>
      <c r="AY82" s="19">
        <v>25344</v>
      </c>
      <c r="AZ82" s="19" t="s">
        <v>108</v>
      </c>
      <c r="BA82" s="76">
        <v>1792060346001</v>
      </c>
      <c r="BB82" s="21">
        <v>146.26</v>
      </c>
      <c r="BC82" s="21"/>
      <c r="BD82" s="20">
        <f t="shared" si="30"/>
        <v>0</v>
      </c>
      <c r="BE82" s="20">
        <f t="shared" si="31"/>
        <v>146.26</v>
      </c>
    </row>
    <row r="83" spans="1:59">
      <c r="A83" s="53">
        <f>+A82+1</f>
        <v>39</v>
      </c>
      <c r="B83" s="82">
        <v>42314</v>
      </c>
      <c r="C83" s="19">
        <v>99605</v>
      </c>
      <c r="D83" s="16" t="s">
        <v>80</v>
      </c>
      <c r="E83" s="40">
        <v>1792040531001</v>
      </c>
      <c r="F83" s="20">
        <v>4.5</v>
      </c>
      <c r="G83" s="20"/>
      <c r="H83" s="20">
        <f t="shared" si="24"/>
        <v>0</v>
      </c>
      <c r="I83" s="20">
        <f t="shared" si="25"/>
        <v>4.5</v>
      </c>
      <c r="J83">
        <v>106.45</v>
      </c>
      <c r="K83" s="168">
        <v>23</v>
      </c>
      <c r="AW83" s="53">
        <f>+AW82+1</f>
        <v>86</v>
      </c>
      <c r="AX83" s="85">
        <v>42089</v>
      </c>
      <c r="AY83" s="19">
        <v>222332</v>
      </c>
      <c r="AZ83" s="19" t="s">
        <v>108</v>
      </c>
      <c r="BA83" s="76">
        <v>1792060346001</v>
      </c>
      <c r="BB83" s="21">
        <v>97.51</v>
      </c>
      <c r="BC83" s="21"/>
      <c r="BD83" s="20">
        <f t="shared" si="30"/>
        <v>0</v>
      </c>
      <c r="BE83" s="20">
        <f t="shared" si="31"/>
        <v>97.51</v>
      </c>
    </row>
    <row r="84" spans="1:59">
      <c r="A84" s="53">
        <v>27</v>
      </c>
      <c r="B84" s="82">
        <v>42119</v>
      </c>
      <c r="C84" s="19">
        <v>11592</v>
      </c>
      <c r="D84" s="16" t="s">
        <v>143</v>
      </c>
      <c r="E84" s="40">
        <v>1792066433001</v>
      </c>
      <c r="F84" s="20">
        <v>15</v>
      </c>
      <c r="G84" s="20"/>
      <c r="H84" s="20">
        <f t="shared" si="24"/>
        <v>0</v>
      </c>
      <c r="I84" s="20">
        <f t="shared" si="25"/>
        <v>15</v>
      </c>
      <c r="AW84" s="53">
        <f t="shared" si="32"/>
        <v>87</v>
      </c>
      <c r="AX84" s="85">
        <v>42047</v>
      </c>
      <c r="AY84" s="19">
        <v>181470</v>
      </c>
      <c r="AZ84" s="19" t="s">
        <v>108</v>
      </c>
      <c r="BA84" s="76">
        <v>1792060346001</v>
      </c>
      <c r="BB84" s="21">
        <v>52.88</v>
      </c>
      <c r="BC84" s="21"/>
      <c r="BD84" s="20">
        <f t="shared" si="30"/>
        <v>0</v>
      </c>
      <c r="BE84" s="20">
        <f t="shared" si="31"/>
        <v>52.88</v>
      </c>
      <c r="BF84">
        <v>1811.01</v>
      </c>
      <c r="BG84">
        <v>15</v>
      </c>
    </row>
    <row r="85" spans="1:59">
      <c r="A85" s="53">
        <f>+A84+1</f>
        <v>28</v>
      </c>
      <c r="B85" s="82">
        <v>42217</v>
      </c>
      <c r="C85" s="19">
        <v>121591</v>
      </c>
      <c r="D85" s="16" t="s">
        <v>136</v>
      </c>
      <c r="E85" s="40">
        <v>1792066433001</v>
      </c>
      <c r="F85" s="20">
        <v>15</v>
      </c>
      <c r="G85" s="20"/>
      <c r="H85" s="20">
        <f t="shared" si="24"/>
        <v>0</v>
      </c>
      <c r="I85" s="20">
        <f t="shared" si="25"/>
        <v>15</v>
      </c>
      <c r="J85">
        <v>30</v>
      </c>
      <c r="K85" s="168">
        <v>2</v>
      </c>
      <c r="AW85" s="53">
        <f t="shared" si="32"/>
        <v>88</v>
      </c>
      <c r="AX85" s="85">
        <v>42243</v>
      </c>
      <c r="AY85" s="19">
        <v>217885</v>
      </c>
      <c r="AZ85" s="19" t="s">
        <v>196</v>
      </c>
      <c r="BA85" s="76">
        <v>1792177685001</v>
      </c>
      <c r="BB85" s="21">
        <v>2.25</v>
      </c>
      <c r="BC85" s="21"/>
      <c r="BD85" s="20">
        <f t="shared" si="30"/>
        <v>0</v>
      </c>
      <c r="BE85" s="20">
        <f t="shared" si="31"/>
        <v>2.25</v>
      </c>
      <c r="BF85">
        <v>2.25</v>
      </c>
      <c r="BG85">
        <v>1</v>
      </c>
    </row>
    <row r="86" spans="1:59">
      <c r="A86" s="53">
        <f>+A85+1</f>
        <v>29</v>
      </c>
      <c r="B86" s="82">
        <v>42314</v>
      </c>
      <c r="C86" s="19">
        <v>231</v>
      </c>
      <c r="D86" s="16" t="s">
        <v>165</v>
      </c>
      <c r="E86" s="40">
        <v>1792171687001</v>
      </c>
      <c r="F86" s="20">
        <v>33</v>
      </c>
      <c r="G86" s="20"/>
      <c r="H86" s="20">
        <f t="shared" si="24"/>
        <v>0</v>
      </c>
      <c r="I86" s="20">
        <f t="shared" si="25"/>
        <v>33</v>
      </c>
      <c r="J86">
        <v>33</v>
      </c>
      <c r="K86" s="168">
        <v>1</v>
      </c>
      <c r="AW86" s="53">
        <f t="shared" si="32"/>
        <v>89</v>
      </c>
      <c r="AX86" s="85">
        <v>42074</v>
      </c>
      <c r="AY86" s="19">
        <v>2088</v>
      </c>
      <c r="AZ86" s="19" t="s">
        <v>114</v>
      </c>
      <c r="BA86" s="76">
        <v>1792318777001</v>
      </c>
      <c r="BB86" s="21">
        <v>36.619999999999997</v>
      </c>
      <c r="BC86" s="21"/>
      <c r="BD86" s="20">
        <f t="shared" si="30"/>
        <v>0</v>
      </c>
      <c r="BE86" s="20">
        <f t="shared" si="31"/>
        <v>36.619999999999997</v>
      </c>
      <c r="BF86">
        <v>36.619999999999997</v>
      </c>
      <c r="BG86">
        <v>1</v>
      </c>
    </row>
    <row r="87" spans="1:59" ht="15.75" thickBot="1">
      <c r="A87" s="53">
        <f>+A86+1</f>
        <v>30</v>
      </c>
      <c r="B87" s="82">
        <v>42279</v>
      </c>
      <c r="C87" s="19">
        <v>21688</v>
      </c>
      <c r="D87" s="41" t="s">
        <v>160</v>
      </c>
      <c r="E87" s="164">
        <v>1792233283001</v>
      </c>
      <c r="F87" s="42">
        <v>21.5</v>
      </c>
      <c r="G87" s="20"/>
      <c r="H87" s="20">
        <f t="shared" si="24"/>
        <v>0</v>
      </c>
      <c r="I87" s="20">
        <f t="shared" si="25"/>
        <v>21.5</v>
      </c>
      <c r="J87">
        <v>21.5</v>
      </c>
      <c r="K87" s="168">
        <v>1</v>
      </c>
      <c r="BB87" s="111">
        <f>SUM(BB5:BB86)</f>
        <v>2902.4700000000003</v>
      </c>
      <c r="BC87" s="111">
        <f>SUM(BC5:BC86)</f>
        <v>165.24</v>
      </c>
      <c r="BD87" s="111">
        <f>SUM(BD5:BD86)</f>
        <v>19.828799999999998</v>
      </c>
      <c r="BE87" s="111">
        <f>SUM(BE5:BE86)</f>
        <v>3087.5387999999994</v>
      </c>
    </row>
    <row r="88" spans="1:59" ht="15.75" thickTop="1">
      <c r="A88" s="53"/>
      <c r="B88" s="82"/>
      <c r="C88" s="19"/>
      <c r="D88" s="16"/>
      <c r="E88" s="16"/>
      <c r="F88" s="16"/>
      <c r="G88" s="20"/>
      <c r="H88" s="20"/>
      <c r="I88" s="20"/>
      <c r="BB88" s="15"/>
      <c r="BC88" s="15"/>
      <c r="BD88" s="15"/>
      <c r="BE88" s="15"/>
    </row>
    <row r="89" spans="1:59">
      <c r="F89" s="113">
        <f>SUM(F5:F88)</f>
        <v>3211.9500000000003</v>
      </c>
      <c r="G89" s="113">
        <f>SUM(G5:G88)</f>
        <v>0</v>
      </c>
      <c r="H89" s="113">
        <f>SUM(H5:H88)</f>
        <v>0</v>
      </c>
      <c r="I89" s="113">
        <f>SUM(I5:I88)</f>
        <v>3204.0900000000006</v>
      </c>
      <c r="BB89" s="112">
        <f>+BB87+BC87</f>
        <v>3067.71</v>
      </c>
      <c r="BF89">
        <f>SUM(BF4:BF87)</f>
        <v>3067.7</v>
      </c>
    </row>
    <row r="90" spans="1:59">
      <c r="F90" s="15"/>
      <c r="G90" s="15"/>
      <c r="H90" s="15"/>
      <c r="I90" s="15"/>
    </row>
    <row r="91" spans="1:59">
      <c r="F91" s="114">
        <f>+F89+G89</f>
        <v>3211.9500000000003</v>
      </c>
      <c r="G91" s="15"/>
      <c r="H91" s="15"/>
      <c r="I91" s="15"/>
      <c r="J91" s="165">
        <f>SUM(J5:J88)</f>
        <v>3211.95</v>
      </c>
      <c r="BD91" s="15">
        <f>+BB89-BF89</f>
        <v>1.0000000000218279E-2</v>
      </c>
    </row>
    <row r="92" spans="1:59">
      <c r="F92" s="15"/>
      <c r="G92" s="15"/>
      <c r="H92" s="15"/>
      <c r="I92" s="15"/>
    </row>
    <row r="93" spans="1:59">
      <c r="B93" s="61"/>
      <c r="C93" s="62"/>
      <c r="D93" s="62"/>
      <c r="E93" s="63"/>
      <c r="F93" s="64"/>
      <c r="G93" s="64"/>
      <c r="H93" s="64"/>
      <c r="I93" s="64"/>
    </row>
    <row r="94" spans="1:59">
      <c r="B94" s="61"/>
      <c r="C94" s="62"/>
      <c r="D94" s="62"/>
      <c r="E94" s="63"/>
      <c r="F94" s="64"/>
      <c r="G94" s="64"/>
      <c r="H94" s="64"/>
      <c r="I94" s="64"/>
    </row>
  </sheetData>
  <sortState ref="AX5:BE99">
    <sortCondition ref="BA5:BA99"/>
  </sortState>
  <mergeCells count="5">
    <mergeCell ref="B3:I3"/>
    <mergeCell ref="N3:U3"/>
    <mergeCell ref="Z3:AG3"/>
    <mergeCell ref="AL3:AS3"/>
    <mergeCell ref="AX3:BE3"/>
  </mergeCells>
  <pageMargins left="0.70866141732283472" right="0.70866141732283472" top="0.74803149606299213" bottom="0.74803149606299213" header="0.31496062992125984" footer="0.31496062992125984"/>
  <pageSetup scale="12" orientation="portrait" verticalDpi="14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6" tint="0.39997558519241921"/>
  </sheetPr>
  <dimension ref="A1:AF58"/>
  <sheetViews>
    <sheetView zoomScaleNormal="100" workbookViewId="0">
      <selection activeCell="C1" sqref="C1"/>
    </sheetView>
  </sheetViews>
  <sheetFormatPr baseColWidth="10" defaultRowHeight="15"/>
  <cols>
    <col min="2" max="2" width="12.42578125" customWidth="1"/>
    <col min="4" max="4" width="12" bestFit="1" customWidth="1"/>
    <col min="5" max="5" width="10.140625" customWidth="1"/>
    <col min="6" max="6" width="14.42578125" customWidth="1"/>
    <col min="7" max="7" width="13" customWidth="1"/>
    <col min="8" max="8" width="12.42578125" customWidth="1"/>
    <col min="9" max="9" width="17.140625" customWidth="1"/>
    <col min="11" max="11" width="13.7109375" customWidth="1"/>
    <col min="12" max="12" width="14.85546875" customWidth="1"/>
    <col min="13" max="13" width="12.7109375" customWidth="1"/>
    <col min="14" max="14" width="13.28515625" customWidth="1"/>
    <col min="17" max="17" width="13.5703125" customWidth="1"/>
    <col min="19" max="19" width="14.7109375" customWidth="1"/>
    <col min="20" max="20" width="12.5703125" customWidth="1"/>
    <col min="22" max="22" width="14.42578125" customWidth="1"/>
    <col min="23" max="23" width="13" customWidth="1"/>
    <col min="25" max="25" width="15.7109375" customWidth="1"/>
    <col min="28" max="28" width="13.5703125" customWidth="1"/>
    <col min="29" max="29" width="13.85546875" customWidth="1"/>
    <col min="31" max="31" width="12.85546875" customWidth="1"/>
  </cols>
  <sheetData>
    <row r="1" spans="1:32">
      <c r="A1" s="294"/>
      <c r="B1" s="294"/>
      <c r="C1" s="295" t="str">
        <f>ENERO!A2</f>
        <v>Hernesto Burbano</v>
      </c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</row>
    <row r="2" spans="1:32" ht="15.75" thickBot="1">
      <c r="A2" s="296"/>
      <c r="B2" s="296"/>
      <c r="C2" s="296"/>
      <c r="D2" s="296" t="s">
        <v>349</v>
      </c>
      <c r="E2" s="296"/>
      <c r="F2" s="296"/>
      <c r="G2" s="296"/>
      <c r="H2" s="296"/>
      <c r="I2" s="296" t="s">
        <v>349</v>
      </c>
      <c r="J2" s="296"/>
      <c r="K2" s="296"/>
      <c r="L2" s="296"/>
      <c r="M2" s="296" t="s">
        <v>349</v>
      </c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</row>
    <row r="3" spans="1:32" ht="27" thickTop="1" thickBot="1">
      <c r="A3" s="402" t="s">
        <v>69</v>
      </c>
      <c r="B3" s="402"/>
      <c r="C3" s="402"/>
      <c r="D3" s="402"/>
      <c r="E3" s="296"/>
      <c r="F3" s="399" t="s">
        <v>40</v>
      </c>
      <c r="G3" s="400"/>
      <c r="H3" s="400"/>
      <c r="I3" s="401"/>
      <c r="J3" s="296"/>
      <c r="K3" s="399" t="s">
        <v>30</v>
      </c>
      <c r="L3" s="400"/>
      <c r="M3" s="400"/>
      <c r="N3" s="401"/>
      <c r="O3" s="296"/>
      <c r="P3" s="399" t="s">
        <v>31</v>
      </c>
      <c r="Q3" s="400"/>
      <c r="R3" s="400"/>
      <c r="S3" s="400"/>
      <c r="T3" s="401"/>
      <c r="U3" s="365"/>
      <c r="V3" s="403" t="s">
        <v>32</v>
      </c>
      <c r="W3" s="400"/>
      <c r="X3" s="400"/>
      <c r="Y3" s="401"/>
      <c r="Z3" s="296"/>
      <c r="AA3" s="399" t="s">
        <v>350</v>
      </c>
      <c r="AB3" s="400"/>
      <c r="AC3" s="400"/>
      <c r="AD3" s="400"/>
      <c r="AE3" s="401"/>
      <c r="AF3" s="296"/>
    </row>
    <row r="4" spans="1:32" ht="15.75" customHeight="1" thickTop="1" thickBot="1">
      <c r="A4" s="402"/>
      <c r="B4" s="402"/>
      <c r="C4" s="402"/>
      <c r="D4" s="402"/>
      <c r="E4" s="301"/>
      <c r="F4" s="372" t="s">
        <v>48</v>
      </c>
      <c r="G4" s="367" t="s">
        <v>35</v>
      </c>
      <c r="H4" s="372" t="s">
        <v>47</v>
      </c>
      <c r="I4" s="367" t="s">
        <v>354</v>
      </c>
      <c r="J4" s="373"/>
      <c r="K4" s="374" t="s">
        <v>48</v>
      </c>
      <c r="L4" s="374" t="s">
        <v>35</v>
      </c>
      <c r="M4" s="374" t="s">
        <v>47</v>
      </c>
      <c r="N4" s="374" t="s">
        <v>354</v>
      </c>
      <c r="O4" s="373"/>
      <c r="P4" s="374" t="s">
        <v>34</v>
      </c>
      <c r="Q4" s="374" t="s">
        <v>48</v>
      </c>
      <c r="R4" s="374" t="s">
        <v>47</v>
      </c>
      <c r="S4" s="374" t="s">
        <v>35</v>
      </c>
      <c r="T4" s="374" t="s">
        <v>9</v>
      </c>
      <c r="U4" s="373"/>
      <c r="V4" s="374" t="s">
        <v>48</v>
      </c>
      <c r="W4" s="374" t="s">
        <v>35</v>
      </c>
      <c r="X4" s="374" t="s">
        <v>47</v>
      </c>
      <c r="Y4" s="374" t="s">
        <v>354</v>
      </c>
      <c r="Z4" s="373"/>
      <c r="AA4" s="374" t="s">
        <v>34</v>
      </c>
      <c r="AB4" s="374" t="s">
        <v>48</v>
      </c>
      <c r="AC4" s="374" t="s">
        <v>35</v>
      </c>
      <c r="AD4" s="374" t="s">
        <v>47</v>
      </c>
      <c r="AE4" s="302" t="s">
        <v>354</v>
      </c>
      <c r="AF4" s="296"/>
    </row>
    <row r="5" spans="1:32" ht="15.75" thickTop="1">
      <c r="A5" s="368" t="s">
        <v>351</v>
      </c>
      <c r="B5" s="369" t="s">
        <v>352</v>
      </c>
      <c r="C5" s="370" t="s">
        <v>353</v>
      </c>
      <c r="D5" s="371">
        <v>70</v>
      </c>
      <c r="E5" s="303"/>
      <c r="F5" s="304">
        <v>1125</v>
      </c>
      <c r="G5" s="305" t="s">
        <v>357</v>
      </c>
      <c r="H5" s="299" t="s">
        <v>358</v>
      </c>
      <c r="I5" s="300">
        <v>357.14</v>
      </c>
      <c r="J5" s="306"/>
      <c r="K5" s="307" t="s">
        <v>359</v>
      </c>
      <c r="L5" s="305" t="s">
        <v>360</v>
      </c>
      <c r="M5" s="299" t="s">
        <v>361</v>
      </c>
      <c r="N5" s="300">
        <v>180</v>
      </c>
      <c r="O5" s="306"/>
      <c r="P5" s="308"/>
      <c r="Q5" s="309"/>
      <c r="R5" s="310"/>
      <c r="S5" s="308"/>
      <c r="T5" s="309">
        <v>0</v>
      </c>
      <c r="U5" s="366"/>
      <c r="V5" s="297" t="s">
        <v>362</v>
      </c>
      <c r="W5" s="298" t="s">
        <v>363</v>
      </c>
      <c r="X5" s="299" t="s">
        <v>364</v>
      </c>
      <c r="Y5" s="314">
        <v>30.46</v>
      </c>
      <c r="Z5" s="296"/>
      <c r="AA5" s="298"/>
      <c r="AB5" s="311"/>
      <c r="AC5" s="312"/>
      <c r="AD5" s="313"/>
      <c r="AE5" s="314">
        <v>0</v>
      </c>
      <c r="AF5" s="296"/>
    </row>
    <row r="6" spans="1:32">
      <c r="A6" s="297" t="s">
        <v>355</v>
      </c>
      <c r="B6" s="298" t="s">
        <v>352</v>
      </c>
      <c r="C6" s="299" t="s">
        <v>356</v>
      </c>
      <c r="D6" s="300">
        <v>44</v>
      </c>
      <c r="E6" s="303"/>
      <c r="F6" s="304" t="s">
        <v>368</v>
      </c>
      <c r="G6" s="315" t="s">
        <v>172</v>
      </c>
      <c r="H6" s="299" t="s">
        <v>369</v>
      </c>
      <c r="I6" s="300">
        <v>124.98</v>
      </c>
      <c r="J6" s="306"/>
      <c r="K6" s="307" t="s">
        <v>370</v>
      </c>
      <c r="L6" s="305" t="s">
        <v>141</v>
      </c>
      <c r="M6" s="299" t="s">
        <v>371</v>
      </c>
      <c r="N6" s="300">
        <v>12.8</v>
      </c>
      <c r="O6" s="306"/>
      <c r="P6" s="308"/>
      <c r="Q6" s="309"/>
      <c r="R6" s="310"/>
      <c r="S6" s="309"/>
      <c r="T6" s="309">
        <v>0</v>
      </c>
      <c r="U6" s="306"/>
      <c r="V6" s="297" t="s">
        <v>372</v>
      </c>
      <c r="W6" s="298" t="s">
        <v>373</v>
      </c>
      <c r="X6" s="299" t="s">
        <v>374</v>
      </c>
      <c r="Y6" s="314">
        <v>10.58</v>
      </c>
      <c r="Z6" s="296"/>
      <c r="AA6" s="298"/>
      <c r="AB6" s="311"/>
      <c r="AC6" s="316"/>
      <c r="AD6" s="313"/>
      <c r="AE6" s="314">
        <v>0</v>
      </c>
      <c r="AF6" s="296"/>
    </row>
    <row r="7" spans="1:32" ht="15.75">
      <c r="A7" s="297" t="s">
        <v>365</v>
      </c>
      <c r="B7" s="298" t="s">
        <v>366</v>
      </c>
      <c r="C7" s="299" t="s">
        <v>367</v>
      </c>
      <c r="D7" s="300">
        <v>25</v>
      </c>
      <c r="E7" s="317"/>
      <c r="F7" s="304" t="s">
        <v>378</v>
      </c>
      <c r="G7" s="305" t="s">
        <v>379</v>
      </c>
      <c r="H7" s="299" t="s">
        <v>380</v>
      </c>
      <c r="I7" s="300">
        <v>53.49</v>
      </c>
      <c r="J7" s="306"/>
      <c r="K7" s="305">
        <v>1180</v>
      </c>
      <c r="L7" s="305" t="s">
        <v>360</v>
      </c>
      <c r="M7" s="299" t="s">
        <v>361</v>
      </c>
      <c r="N7" s="300">
        <v>120</v>
      </c>
      <c r="O7" s="306"/>
      <c r="P7" s="308"/>
      <c r="Q7" s="309"/>
      <c r="R7" s="310"/>
      <c r="S7" s="309"/>
      <c r="T7" s="309">
        <v>0</v>
      </c>
      <c r="U7" s="306"/>
      <c r="V7" s="297" t="s">
        <v>381</v>
      </c>
      <c r="W7" s="298" t="s">
        <v>363</v>
      </c>
      <c r="X7" s="299" t="s">
        <v>364</v>
      </c>
      <c r="Y7" s="314">
        <v>90.72</v>
      </c>
      <c r="Z7" s="296"/>
      <c r="AA7" s="298"/>
      <c r="AB7" s="311"/>
      <c r="AC7" s="316"/>
      <c r="AD7" s="313"/>
      <c r="AE7" s="314">
        <v>0</v>
      </c>
      <c r="AF7" s="296"/>
    </row>
    <row r="8" spans="1:32" ht="15.75">
      <c r="A8" s="297" t="s">
        <v>375</v>
      </c>
      <c r="B8" s="298" t="s">
        <v>376</v>
      </c>
      <c r="C8" s="299" t="s">
        <v>377</v>
      </c>
      <c r="D8" s="300">
        <v>50</v>
      </c>
      <c r="E8" s="317"/>
      <c r="F8" s="304" t="s">
        <v>382</v>
      </c>
      <c r="G8" s="305" t="s">
        <v>379</v>
      </c>
      <c r="H8" s="299" t="s">
        <v>380</v>
      </c>
      <c r="I8" s="300">
        <v>54.19</v>
      </c>
      <c r="J8" s="306"/>
      <c r="K8" s="305">
        <v>83341</v>
      </c>
      <c r="L8" s="305" t="s">
        <v>383</v>
      </c>
      <c r="M8" s="299" t="s">
        <v>384</v>
      </c>
      <c r="N8" s="300">
        <v>11.85</v>
      </c>
      <c r="O8" s="306"/>
      <c r="P8" s="308"/>
      <c r="Q8" s="309"/>
      <c r="R8" s="310"/>
      <c r="S8" s="309"/>
      <c r="T8" s="309">
        <v>0</v>
      </c>
      <c r="U8" s="306"/>
      <c r="V8" s="297" t="s">
        <v>385</v>
      </c>
      <c r="W8" s="298" t="s">
        <v>363</v>
      </c>
      <c r="X8" s="299" t="s">
        <v>364</v>
      </c>
      <c r="Y8" s="314">
        <v>4.32</v>
      </c>
      <c r="Z8" s="296"/>
      <c r="AA8" s="298"/>
      <c r="AB8" s="311"/>
      <c r="AC8" s="316"/>
      <c r="AD8" s="313"/>
      <c r="AE8" s="314">
        <v>0</v>
      </c>
      <c r="AF8" s="296"/>
    </row>
    <row r="9" spans="1:32" ht="15.75">
      <c r="A9" s="297">
        <v>304818</v>
      </c>
      <c r="B9" s="298" t="s">
        <v>352</v>
      </c>
      <c r="C9" s="299" t="s">
        <v>356</v>
      </c>
      <c r="D9" s="300">
        <v>167.2</v>
      </c>
      <c r="E9" s="317"/>
      <c r="F9" s="318" t="s">
        <v>386</v>
      </c>
      <c r="G9" s="319" t="s">
        <v>387</v>
      </c>
      <c r="H9" s="299" t="s">
        <v>388</v>
      </c>
      <c r="I9" s="300">
        <v>60.36</v>
      </c>
      <c r="J9" s="306"/>
      <c r="K9" s="305">
        <v>2067</v>
      </c>
      <c r="L9" s="305" t="s">
        <v>389</v>
      </c>
      <c r="M9" s="299" t="s">
        <v>390</v>
      </c>
      <c r="N9" s="300">
        <v>26.79</v>
      </c>
      <c r="O9" s="306"/>
      <c r="P9" s="309"/>
      <c r="Q9" s="309"/>
      <c r="R9" s="310"/>
      <c r="S9" s="309"/>
      <c r="T9" s="309">
        <v>0</v>
      </c>
      <c r="U9" s="306"/>
      <c r="V9" s="297" t="s">
        <v>391</v>
      </c>
      <c r="W9" s="298" t="s">
        <v>392</v>
      </c>
      <c r="X9" s="299" t="s">
        <v>393</v>
      </c>
      <c r="Y9" s="314">
        <v>124.96</v>
      </c>
      <c r="Z9" s="296"/>
      <c r="AA9" s="298"/>
      <c r="AB9" s="311"/>
      <c r="AC9" s="316"/>
      <c r="AD9" s="313"/>
      <c r="AE9" s="314">
        <v>0</v>
      </c>
      <c r="AF9" s="296"/>
    </row>
    <row r="10" spans="1:32" ht="15.75">
      <c r="A10" s="297">
        <v>775028</v>
      </c>
      <c r="B10" s="298" t="s">
        <v>141</v>
      </c>
      <c r="C10" s="299" t="s">
        <v>371</v>
      </c>
      <c r="D10" s="300">
        <v>17.190000000000001</v>
      </c>
      <c r="E10" s="317"/>
      <c r="F10" s="304" t="s">
        <v>397</v>
      </c>
      <c r="G10" s="315" t="s">
        <v>398</v>
      </c>
      <c r="H10" s="299" t="s">
        <v>399</v>
      </c>
      <c r="I10" s="300">
        <v>15.63</v>
      </c>
      <c r="J10" s="306"/>
      <c r="K10" s="305">
        <v>1239</v>
      </c>
      <c r="L10" s="305" t="s">
        <v>360</v>
      </c>
      <c r="M10" s="299" t="s">
        <v>361</v>
      </c>
      <c r="N10" s="300">
        <v>120</v>
      </c>
      <c r="O10" s="306"/>
      <c r="P10" s="308"/>
      <c r="Q10" s="309"/>
      <c r="R10" s="310"/>
      <c r="S10" s="309"/>
      <c r="T10" s="309">
        <v>0</v>
      </c>
      <c r="U10" s="306"/>
      <c r="V10" s="297" t="s">
        <v>400</v>
      </c>
      <c r="W10" s="298" t="s">
        <v>141</v>
      </c>
      <c r="X10" s="299">
        <v>1790710319001</v>
      </c>
      <c r="Y10" s="314">
        <v>4.45</v>
      </c>
      <c r="Z10" s="296"/>
      <c r="AA10" s="298"/>
      <c r="AB10" s="311"/>
      <c r="AC10" s="316"/>
      <c r="AD10" s="313"/>
      <c r="AE10" s="314">
        <v>0</v>
      </c>
      <c r="AF10" s="296"/>
    </row>
    <row r="11" spans="1:32" ht="15.75">
      <c r="A11" s="320" t="s">
        <v>394</v>
      </c>
      <c r="B11" s="298" t="s">
        <v>395</v>
      </c>
      <c r="C11" s="299" t="s">
        <v>396</v>
      </c>
      <c r="D11" s="300">
        <v>2.15</v>
      </c>
      <c r="E11" s="317"/>
      <c r="F11" s="304" t="s">
        <v>402</v>
      </c>
      <c r="G11" s="315" t="s">
        <v>379</v>
      </c>
      <c r="H11" s="299" t="s">
        <v>380</v>
      </c>
      <c r="I11" s="300">
        <v>139.36000000000001</v>
      </c>
      <c r="J11" s="306"/>
      <c r="K11" s="305">
        <v>146280</v>
      </c>
      <c r="L11" s="305" t="s">
        <v>403</v>
      </c>
      <c r="M11" s="299" t="s">
        <v>404</v>
      </c>
      <c r="N11" s="300">
        <v>16.07</v>
      </c>
      <c r="O11" s="306"/>
      <c r="P11" s="308"/>
      <c r="Q11" s="309"/>
      <c r="R11" s="310"/>
      <c r="S11" s="309"/>
      <c r="T11" s="309">
        <v>0</v>
      </c>
      <c r="U11" s="306"/>
      <c r="V11" s="297" t="s">
        <v>405</v>
      </c>
      <c r="W11" s="298" t="s">
        <v>141</v>
      </c>
      <c r="X11" s="299">
        <v>1790710319001</v>
      </c>
      <c r="Y11" s="314">
        <v>28.4</v>
      </c>
      <c r="Z11" s="296"/>
      <c r="AA11" s="298"/>
      <c r="AB11" s="311"/>
      <c r="AC11" s="316"/>
      <c r="AD11" s="313"/>
      <c r="AE11" s="314">
        <v>0</v>
      </c>
      <c r="AF11" s="296"/>
    </row>
    <row r="12" spans="1:32" ht="15.75">
      <c r="A12" s="297" t="s">
        <v>401</v>
      </c>
      <c r="B12" s="298" t="s">
        <v>163</v>
      </c>
      <c r="C12" s="299" t="s">
        <v>396</v>
      </c>
      <c r="D12" s="300">
        <v>32.9</v>
      </c>
      <c r="E12" s="317"/>
      <c r="F12" s="318" t="s">
        <v>409</v>
      </c>
      <c r="G12" s="309" t="s">
        <v>379</v>
      </c>
      <c r="H12" s="299" t="s">
        <v>380</v>
      </c>
      <c r="I12" s="300">
        <v>26.7</v>
      </c>
      <c r="J12" s="306"/>
      <c r="K12" s="321"/>
      <c r="L12" s="322"/>
      <c r="M12" s="323"/>
      <c r="N12" s="300">
        <v>0</v>
      </c>
      <c r="O12" s="306"/>
      <c r="P12" s="308"/>
      <c r="Q12" s="309"/>
      <c r="R12" s="310"/>
      <c r="S12" s="309"/>
      <c r="T12" s="309">
        <v>0</v>
      </c>
      <c r="U12" s="324"/>
      <c r="V12" s="297" t="s">
        <v>410</v>
      </c>
      <c r="W12" s="298" t="s">
        <v>141</v>
      </c>
      <c r="X12" s="299">
        <v>1790710319001</v>
      </c>
      <c r="Y12" s="314">
        <v>1.68</v>
      </c>
      <c r="Z12" s="296"/>
      <c r="AA12" s="298"/>
      <c r="AB12" s="311"/>
      <c r="AC12" s="316"/>
      <c r="AD12" s="313"/>
      <c r="AE12" s="314">
        <v>0</v>
      </c>
      <c r="AF12" s="296"/>
    </row>
    <row r="13" spans="1:32" ht="15.75">
      <c r="A13" s="297" t="s">
        <v>406</v>
      </c>
      <c r="B13" s="298" t="s">
        <v>407</v>
      </c>
      <c r="C13" s="299" t="s">
        <v>408</v>
      </c>
      <c r="D13" s="300">
        <v>3.2</v>
      </c>
      <c r="E13" s="317"/>
      <c r="F13" s="304">
        <v>48110</v>
      </c>
      <c r="G13" s="305" t="s">
        <v>412</v>
      </c>
      <c r="H13" s="299" t="s">
        <v>413</v>
      </c>
      <c r="I13" s="300">
        <v>6.06</v>
      </c>
      <c r="J13" s="325"/>
      <c r="K13" s="309"/>
      <c r="L13" s="326"/>
      <c r="M13" s="327"/>
      <c r="N13" s="300">
        <v>0</v>
      </c>
      <c r="O13" s="306"/>
      <c r="P13" s="308"/>
      <c r="Q13" s="309"/>
      <c r="R13" s="310"/>
      <c r="S13" s="309"/>
      <c r="T13" s="309">
        <v>0</v>
      </c>
      <c r="U13" s="306"/>
      <c r="V13" s="297" t="s">
        <v>414</v>
      </c>
      <c r="W13" s="298" t="s">
        <v>363</v>
      </c>
      <c r="X13" s="299" t="s">
        <v>364</v>
      </c>
      <c r="Y13" s="314">
        <v>82.17</v>
      </c>
      <c r="Z13" s="296"/>
      <c r="AA13" s="298"/>
      <c r="AB13" s="311"/>
      <c r="AC13" s="316"/>
      <c r="AD13" s="313"/>
      <c r="AE13" s="314">
        <v>0</v>
      </c>
      <c r="AF13" s="296"/>
    </row>
    <row r="14" spans="1:32" ht="15.75">
      <c r="A14" s="297" t="s">
        <v>411</v>
      </c>
      <c r="B14" s="298" t="s">
        <v>163</v>
      </c>
      <c r="C14" s="299" t="s">
        <v>396</v>
      </c>
      <c r="D14" s="309">
        <v>9.8000000000000007</v>
      </c>
      <c r="E14" s="317"/>
      <c r="F14" s="318">
        <v>3943</v>
      </c>
      <c r="G14" s="319" t="s">
        <v>418</v>
      </c>
      <c r="H14" s="299" t="s">
        <v>419</v>
      </c>
      <c r="I14" s="300">
        <v>60.71</v>
      </c>
      <c r="J14" s="306"/>
      <c r="K14" s="309"/>
      <c r="L14" s="326"/>
      <c r="M14" s="327"/>
      <c r="N14" s="300">
        <v>0</v>
      </c>
      <c r="O14" s="306"/>
      <c r="P14" s="308"/>
      <c r="Q14" s="309"/>
      <c r="R14" s="310"/>
      <c r="S14" s="309"/>
      <c r="T14" s="309">
        <v>0</v>
      </c>
      <c r="U14" s="306"/>
      <c r="V14" s="297" t="s">
        <v>420</v>
      </c>
      <c r="W14" s="298" t="s">
        <v>363</v>
      </c>
      <c r="X14" s="299" t="s">
        <v>364</v>
      </c>
      <c r="Y14" s="314">
        <v>13</v>
      </c>
      <c r="Z14" s="296"/>
      <c r="AA14" s="298"/>
      <c r="AB14" s="311"/>
      <c r="AC14" s="316"/>
      <c r="AD14" s="313"/>
      <c r="AE14" s="314">
        <v>0</v>
      </c>
      <c r="AF14" s="296"/>
    </row>
    <row r="15" spans="1:32" ht="15.75">
      <c r="A15" s="320" t="s">
        <v>415</v>
      </c>
      <c r="B15" s="298" t="s">
        <v>416</v>
      </c>
      <c r="C15" s="299" t="s">
        <v>417</v>
      </c>
      <c r="D15" s="300">
        <v>20.09</v>
      </c>
      <c r="E15" s="317"/>
      <c r="F15" s="318">
        <v>116102</v>
      </c>
      <c r="G15" s="319" t="s">
        <v>172</v>
      </c>
      <c r="H15" s="299" t="s">
        <v>369</v>
      </c>
      <c r="I15" s="300">
        <v>58.01</v>
      </c>
      <c r="J15" s="330"/>
      <c r="K15" s="309"/>
      <c r="L15" s="326"/>
      <c r="M15" s="327"/>
      <c r="N15" s="300">
        <v>0</v>
      </c>
      <c r="O15" s="306"/>
      <c r="P15" s="308"/>
      <c r="Q15" s="309"/>
      <c r="R15" s="310"/>
      <c r="S15" s="309"/>
      <c r="T15" s="309">
        <v>0</v>
      </c>
      <c r="U15" s="306"/>
      <c r="V15" s="311"/>
      <c r="W15" s="312"/>
      <c r="X15" s="313"/>
      <c r="Y15" s="314">
        <v>0</v>
      </c>
      <c r="Z15" s="296"/>
      <c r="AA15" s="298"/>
      <c r="AB15" s="311"/>
      <c r="AC15" s="316"/>
      <c r="AD15" s="313"/>
      <c r="AE15" s="314">
        <v>0</v>
      </c>
      <c r="AF15" s="296"/>
    </row>
    <row r="16" spans="1:32" ht="15.75">
      <c r="A16" s="328" t="s">
        <v>421</v>
      </c>
      <c r="B16" s="329" t="s">
        <v>141</v>
      </c>
      <c r="C16" s="299" t="s">
        <v>371</v>
      </c>
      <c r="D16" s="300">
        <v>6.8</v>
      </c>
      <c r="E16" s="317"/>
      <c r="F16" s="318">
        <v>36482</v>
      </c>
      <c r="G16" s="319" t="s">
        <v>423</v>
      </c>
      <c r="H16" s="299" t="s">
        <v>424</v>
      </c>
      <c r="I16" s="300">
        <v>74.98</v>
      </c>
      <c r="J16" s="306"/>
      <c r="K16" s="309"/>
      <c r="L16" s="326"/>
      <c r="M16" s="327"/>
      <c r="N16" s="300">
        <v>3155</v>
      </c>
      <c r="O16" s="306"/>
      <c r="P16" s="308"/>
      <c r="Q16" s="309"/>
      <c r="R16" s="310"/>
      <c r="S16" s="309"/>
      <c r="T16" s="309">
        <v>0</v>
      </c>
      <c r="U16" s="306"/>
      <c r="V16" s="311"/>
      <c r="W16" s="312"/>
      <c r="X16" s="313"/>
      <c r="Y16" s="314">
        <v>0</v>
      </c>
      <c r="Z16" s="296"/>
      <c r="AA16" s="298"/>
      <c r="AB16" s="311"/>
      <c r="AC16" s="316"/>
      <c r="AD16" s="313"/>
      <c r="AE16" s="314">
        <v>0</v>
      </c>
      <c r="AF16" s="296"/>
    </row>
    <row r="17" spans="1:32" ht="15.75">
      <c r="A17" s="328" t="s">
        <v>422</v>
      </c>
      <c r="B17" s="329" t="s">
        <v>141</v>
      </c>
      <c r="C17" s="299" t="s">
        <v>371</v>
      </c>
      <c r="D17" s="300">
        <v>63.25</v>
      </c>
      <c r="E17" s="317"/>
      <c r="F17" s="318">
        <v>46818</v>
      </c>
      <c r="G17" s="309" t="s">
        <v>426</v>
      </c>
      <c r="H17" s="331" t="s">
        <v>427</v>
      </c>
      <c r="I17" s="300">
        <v>102.9</v>
      </c>
      <c r="J17" s="306"/>
      <c r="K17" s="309"/>
      <c r="L17" s="326"/>
      <c r="M17" s="327"/>
      <c r="N17" s="300">
        <v>5</v>
      </c>
      <c r="O17" s="306"/>
      <c r="P17" s="308"/>
      <c r="Q17" s="309"/>
      <c r="R17" s="310"/>
      <c r="S17" s="309"/>
      <c r="T17" s="309">
        <v>0</v>
      </c>
      <c r="U17" s="306"/>
      <c r="V17" s="311"/>
      <c r="W17" s="316"/>
      <c r="X17" s="313"/>
      <c r="Y17" s="314">
        <v>0</v>
      </c>
      <c r="Z17" s="296"/>
      <c r="AA17" s="298"/>
      <c r="AB17" s="311"/>
      <c r="AC17" s="316"/>
      <c r="AD17" s="313"/>
      <c r="AE17" s="314">
        <v>0</v>
      </c>
      <c r="AF17" s="296"/>
    </row>
    <row r="18" spans="1:32" ht="15.75">
      <c r="A18" s="328" t="s">
        <v>425</v>
      </c>
      <c r="B18" s="329" t="s">
        <v>407</v>
      </c>
      <c r="C18" s="299" t="s">
        <v>408</v>
      </c>
      <c r="D18" s="300">
        <v>31.32</v>
      </c>
      <c r="E18" s="317"/>
      <c r="F18" s="318">
        <v>2879</v>
      </c>
      <c r="G18" s="309" t="s">
        <v>429</v>
      </c>
      <c r="H18" s="331" t="s">
        <v>430</v>
      </c>
      <c r="I18" s="300">
        <v>40.18</v>
      </c>
      <c r="J18" s="306"/>
      <c r="K18" s="309"/>
      <c r="L18" s="326"/>
      <c r="M18" s="327"/>
      <c r="N18" s="300">
        <v>0</v>
      </c>
      <c r="O18" s="306"/>
      <c r="P18" s="308"/>
      <c r="Q18" s="309"/>
      <c r="R18" s="309"/>
      <c r="S18" s="309"/>
      <c r="T18" s="309">
        <v>0</v>
      </c>
      <c r="U18" s="306"/>
      <c r="V18" s="311"/>
      <c r="W18" s="312"/>
      <c r="X18" s="313"/>
      <c r="Y18" s="314">
        <v>0</v>
      </c>
      <c r="Z18" s="296"/>
      <c r="AA18" s="298"/>
      <c r="AB18" s="311"/>
      <c r="AC18" s="312"/>
      <c r="AD18" s="313"/>
      <c r="AE18" s="314">
        <v>0</v>
      </c>
      <c r="AF18" s="296"/>
    </row>
    <row r="19" spans="1:32" ht="15.75">
      <c r="A19" s="328" t="s">
        <v>428</v>
      </c>
      <c r="B19" s="329" t="s">
        <v>163</v>
      </c>
      <c r="C19" s="299" t="s">
        <v>396</v>
      </c>
      <c r="D19" s="300">
        <v>7.38</v>
      </c>
      <c r="E19" s="317"/>
      <c r="F19" s="318">
        <v>13090</v>
      </c>
      <c r="G19" s="309" t="s">
        <v>431</v>
      </c>
      <c r="H19" s="299" t="s">
        <v>432</v>
      </c>
      <c r="I19" s="300">
        <v>202.5</v>
      </c>
      <c r="J19" s="306"/>
      <c r="K19" s="309"/>
      <c r="L19" s="326"/>
      <c r="M19" s="327"/>
      <c r="N19" s="300"/>
      <c r="O19" s="306"/>
      <c r="P19" s="308"/>
      <c r="Q19" s="309"/>
      <c r="R19" s="309"/>
      <c r="S19" s="309"/>
      <c r="T19" s="309">
        <v>0</v>
      </c>
      <c r="U19" s="306"/>
      <c r="V19" s="311"/>
      <c r="W19" s="312"/>
      <c r="X19" s="313"/>
      <c r="Y19" s="314">
        <v>0</v>
      </c>
      <c r="Z19" s="296"/>
      <c r="AA19" s="298"/>
      <c r="AB19" s="311"/>
      <c r="AC19" s="312"/>
      <c r="AD19" s="313"/>
      <c r="AE19" s="314">
        <v>0</v>
      </c>
      <c r="AF19" s="296"/>
    </row>
    <row r="20" spans="1:32" ht="15.75">
      <c r="A20" s="328">
        <v>1724967</v>
      </c>
      <c r="B20" s="329" t="s">
        <v>141</v>
      </c>
      <c r="C20" s="299" t="s">
        <v>371</v>
      </c>
      <c r="D20" s="300">
        <v>6.46</v>
      </c>
      <c r="E20" s="317"/>
      <c r="F20" s="335"/>
      <c r="G20" s="336"/>
      <c r="H20" s="337"/>
      <c r="I20" s="338">
        <v>1000</v>
      </c>
      <c r="J20" s="306"/>
      <c r="K20" s="309"/>
      <c r="L20" s="326"/>
      <c r="M20" s="326"/>
      <c r="N20" s="300"/>
      <c r="O20" s="306"/>
      <c r="P20" s="308"/>
      <c r="Q20" s="309"/>
      <c r="R20" s="309"/>
      <c r="S20" s="309"/>
      <c r="T20" s="309">
        <v>0</v>
      </c>
      <c r="U20" s="306"/>
      <c r="V20" s="311"/>
      <c r="W20" s="316"/>
      <c r="X20" s="313"/>
      <c r="Y20" s="314">
        <v>0</v>
      </c>
      <c r="Z20" s="296"/>
      <c r="AA20" s="298"/>
      <c r="AB20" s="311"/>
      <c r="AC20" s="312"/>
      <c r="AD20" s="313"/>
      <c r="AE20" s="314">
        <v>0</v>
      </c>
      <c r="AF20" s="296"/>
    </row>
    <row r="21" spans="1:32" ht="15.75">
      <c r="A21" s="332" t="s">
        <v>433</v>
      </c>
      <c r="B21" s="333" t="s">
        <v>407</v>
      </c>
      <c r="C21" s="334" t="s">
        <v>408</v>
      </c>
      <c r="D21" s="300">
        <v>6.93</v>
      </c>
      <c r="E21" s="317"/>
      <c r="F21" s="318"/>
      <c r="G21" s="309"/>
      <c r="H21" s="299"/>
      <c r="I21" s="353"/>
      <c r="J21" s="306"/>
      <c r="K21" s="309"/>
      <c r="L21" s="326"/>
      <c r="M21" s="326"/>
      <c r="N21" s="300"/>
      <c r="O21" s="306"/>
      <c r="P21" s="308"/>
      <c r="Q21" s="309"/>
      <c r="R21" s="309"/>
      <c r="S21" s="309"/>
      <c r="T21" s="309">
        <v>0</v>
      </c>
      <c r="U21" s="306"/>
      <c r="V21" s="311"/>
      <c r="W21" s="312"/>
      <c r="X21" s="313"/>
      <c r="Y21" s="314">
        <v>0</v>
      </c>
      <c r="Z21" s="296"/>
      <c r="AA21" s="298"/>
      <c r="AB21" s="311"/>
      <c r="AC21" s="312"/>
      <c r="AD21" s="313"/>
      <c r="AE21" s="314">
        <v>0</v>
      </c>
      <c r="AF21" s="296"/>
    </row>
    <row r="22" spans="1:32" ht="15.75">
      <c r="A22" s="332" t="s">
        <v>434</v>
      </c>
      <c r="B22" s="333" t="s">
        <v>435</v>
      </c>
      <c r="C22" s="299" t="s">
        <v>436</v>
      </c>
      <c r="D22" s="300">
        <v>220</v>
      </c>
      <c r="E22" s="317"/>
      <c r="F22" s="318"/>
      <c r="G22" s="309"/>
      <c r="H22" s="377"/>
      <c r="I22" s="379"/>
      <c r="J22" s="325"/>
      <c r="K22" s="326"/>
      <c r="L22" s="326"/>
      <c r="M22" s="326"/>
      <c r="N22" s="300"/>
      <c r="O22" s="306"/>
      <c r="P22" s="308"/>
      <c r="Q22" s="309"/>
      <c r="R22" s="309"/>
      <c r="S22" s="309"/>
      <c r="T22" s="309">
        <v>0</v>
      </c>
      <c r="U22" s="306"/>
      <c r="V22" s="311"/>
      <c r="W22" s="312"/>
      <c r="X22" s="313"/>
      <c r="Y22" s="314">
        <v>0</v>
      </c>
      <c r="Z22" s="296"/>
      <c r="AA22" s="298"/>
      <c r="AB22" s="311"/>
      <c r="AC22" s="316"/>
      <c r="AD22" s="313"/>
      <c r="AE22" s="314">
        <v>0</v>
      </c>
      <c r="AF22" s="296"/>
    </row>
    <row r="23" spans="1:32" ht="16.5" thickBot="1">
      <c r="A23" s="332" t="s">
        <v>437</v>
      </c>
      <c r="B23" s="333" t="s">
        <v>435</v>
      </c>
      <c r="C23" s="334" t="s">
        <v>436</v>
      </c>
      <c r="D23" s="300">
        <v>273.36</v>
      </c>
      <c r="E23" s="317"/>
      <c r="F23" s="335"/>
      <c r="G23" s="336"/>
      <c r="H23" s="299"/>
      <c r="I23" s="338"/>
      <c r="J23" s="306"/>
      <c r="K23" s="326"/>
      <c r="L23" s="326"/>
      <c r="M23" s="326"/>
      <c r="N23" s="353"/>
      <c r="O23" s="306"/>
      <c r="P23" s="308"/>
      <c r="Q23" s="309"/>
      <c r="R23" s="309"/>
      <c r="S23" s="309"/>
      <c r="T23" s="309">
        <v>0</v>
      </c>
      <c r="U23" s="306"/>
      <c r="V23" s="339"/>
      <c r="W23" s="316"/>
      <c r="X23" s="313"/>
      <c r="Y23" s="314">
        <v>0</v>
      </c>
      <c r="Z23" s="296"/>
      <c r="AA23" s="298"/>
      <c r="AB23" s="311"/>
      <c r="AC23" s="316"/>
      <c r="AD23" s="313"/>
      <c r="AE23" s="314">
        <v>0</v>
      </c>
      <c r="AF23" s="296"/>
    </row>
    <row r="24" spans="1:32" ht="16.5" thickBot="1">
      <c r="A24" s="332" t="s">
        <v>438</v>
      </c>
      <c r="B24" s="333" t="s">
        <v>407</v>
      </c>
      <c r="C24" s="334" t="s">
        <v>408</v>
      </c>
      <c r="D24" s="300">
        <v>6.28</v>
      </c>
      <c r="E24" s="317"/>
      <c r="F24" s="318"/>
      <c r="G24" s="309"/>
      <c r="H24" s="340"/>
      <c r="I24" s="300"/>
      <c r="J24" s="306"/>
      <c r="K24" s="306"/>
      <c r="L24" s="306"/>
      <c r="M24" s="306"/>
      <c r="N24" s="351">
        <f>IF(SUM(N5:N23)&gt;3651,"Supero el valor",SUM(N5:N23))</f>
        <v>3647.51</v>
      </c>
      <c r="O24" s="354"/>
      <c r="P24" s="308"/>
      <c r="Q24" s="309"/>
      <c r="R24" s="309"/>
      <c r="S24" s="309"/>
      <c r="T24" s="309">
        <v>0</v>
      </c>
      <c r="U24" s="306"/>
      <c r="V24" s="339"/>
      <c r="W24" s="316"/>
      <c r="X24" s="313"/>
      <c r="Y24" s="314">
        <v>0</v>
      </c>
      <c r="Z24" s="296"/>
      <c r="AA24" s="298"/>
      <c r="AB24" s="311"/>
      <c r="AC24" s="316"/>
      <c r="AD24" s="313"/>
      <c r="AE24" s="314">
        <v>0</v>
      </c>
      <c r="AF24" s="296"/>
    </row>
    <row r="25" spans="1:32" ht="15.75">
      <c r="A25" s="332" t="s">
        <v>439</v>
      </c>
      <c r="B25" s="333" t="s">
        <v>163</v>
      </c>
      <c r="C25" s="334" t="s">
        <v>396</v>
      </c>
      <c r="D25" s="300">
        <v>6.8</v>
      </c>
      <c r="E25" s="317"/>
      <c r="F25" s="318"/>
      <c r="G25" s="309"/>
      <c r="H25" s="337"/>
      <c r="I25" s="300"/>
      <c r="J25" s="306"/>
      <c r="K25" s="306"/>
      <c r="L25" s="306"/>
      <c r="M25" s="306"/>
      <c r="N25" s="355"/>
      <c r="O25" s="306"/>
      <c r="P25" s="308"/>
      <c r="Q25" s="309"/>
      <c r="R25" s="309"/>
      <c r="S25" s="309"/>
      <c r="T25" s="309">
        <v>0</v>
      </c>
      <c r="U25" s="306"/>
      <c r="V25" s="339"/>
      <c r="W25" s="316"/>
      <c r="X25" s="313"/>
      <c r="Y25" s="314">
        <v>0</v>
      </c>
      <c r="Z25" s="296"/>
      <c r="AA25" s="298"/>
      <c r="AB25" s="311"/>
      <c r="AC25" s="316"/>
      <c r="AD25" s="313"/>
      <c r="AE25" s="314">
        <v>0</v>
      </c>
      <c r="AF25" s="296"/>
    </row>
    <row r="26" spans="1:32" ht="15.75">
      <c r="A26" s="332" t="s">
        <v>440</v>
      </c>
      <c r="B26" s="333" t="s">
        <v>435</v>
      </c>
      <c r="C26" s="334" t="s">
        <v>436</v>
      </c>
      <c r="D26" s="300">
        <v>116.07</v>
      </c>
      <c r="E26" s="317"/>
      <c r="F26" s="335"/>
      <c r="G26" s="336"/>
      <c r="H26" s="341"/>
      <c r="I26" s="338"/>
      <c r="J26" s="306"/>
      <c r="K26" s="306"/>
      <c r="L26" s="306"/>
      <c r="M26" s="306"/>
      <c r="N26" s="306"/>
      <c r="O26" s="306"/>
      <c r="P26" s="308"/>
      <c r="Q26" s="309"/>
      <c r="R26" s="309"/>
      <c r="S26" s="309"/>
      <c r="T26" s="309">
        <v>0</v>
      </c>
      <c r="U26" s="306"/>
      <c r="V26" s="339"/>
      <c r="W26" s="316"/>
      <c r="X26" s="313"/>
      <c r="Y26" s="314">
        <v>0</v>
      </c>
      <c r="Z26" s="296"/>
      <c r="AA26" s="298"/>
      <c r="AB26" s="339"/>
      <c r="AC26" s="316"/>
      <c r="AD26" s="313"/>
      <c r="AE26" s="314">
        <v>0</v>
      </c>
      <c r="AF26" s="296"/>
    </row>
    <row r="27" spans="1:32" ht="16.5" thickBot="1">
      <c r="A27" s="332" t="s">
        <v>441</v>
      </c>
      <c r="B27" s="333" t="s">
        <v>442</v>
      </c>
      <c r="C27" s="334" t="s">
        <v>443</v>
      </c>
      <c r="D27" s="300">
        <v>50</v>
      </c>
      <c r="E27" s="317"/>
      <c r="F27" s="318"/>
      <c r="G27" s="309"/>
      <c r="H27" s="340"/>
      <c r="I27" s="300"/>
      <c r="J27" s="306"/>
      <c r="K27" s="306"/>
      <c r="L27" s="306"/>
      <c r="M27" s="306"/>
      <c r="N27" s="306"/>
      <c r="O27" s="306"/>
      <c r="P27" s="308"/>
      <c r="Q27" s="309"/>
      <c r="R27" s="309"/>
      <c r="S27" s="309"/>
      <c r="T27" s="356">
        <v>0</v>
      </c>
      <c r="U27" s="306"/>
      <c r="V27" s="339"/>
      <c r="W27" s="316"/>
      <c r="X27" s="313"/>
      <c r="Y27" s="314">
        <v>0</v>
      </c>
      <c r="Z27" s="296"/>
      <c r="AA27" s="298"/>
      <c r="AB27" s="339"/>
      <c r="AC27" s="316"/>
      <c r="AD27" s="313"/>
      <c r="AE27" s="314">
        <v>0</v>
      </c>
      <c r="AF27" s="296"/>
    </row>
    <row r="28" spans="1:32" ht="16.5" thickBot="1">
      <c r="A28" s="318" t="s">
        <v>444</v>
      </c>
      <c r="B28" s="309" t="s">
        <v>435</v>
      </c>
      <c r="C28" s="334" t="s">
        <v>436</v>
      </c>
      <c r="D28" s="300">
        <v>11.1</v>
      </c>
      <c r="E28" s="317"/>
      <c r="F28" s="318"/>
      <c r="G28" s="309"/>
      <c r="H28" s="340"/>
      <c r="I28" s="300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57">
        <f>IF(SUM(T5:T27)&gt;3651,"Supero el valor",SUM(T5:T27))</f>
        <v>0</v>
      </c>
      <c r="U28" s="358"/>
      <c r="V28" s="342"/>
      <c r="W28" s="343"/>
      <c r="X28" s="344"/>
      <c r="Y28" s="364">
        <f>IF(SUM(Y5:Y27)&gt;3651,"Supero el valor",SUM(Y5:Y27))</f>
        <v>390.73999999999995</v>
      </c>
      <c r="Z28" s="359"/>
      <c r="AA28" s="298"/>
      <c r="AB28" s="339"/>
      <c r="AC28" s="316"/>
      <c r="AD28" s="313"/>
      <c r="AE28" s="314">
        <v>0</v>
      </c>
      <c r="AF28" s="296"/>
    </row>
    <row r="29" spans="1:32" ht="16.5" thickBot="1">
      <c r="A29" s="318" t="s">
        <v>445</v>
      </c>
      <c r="B29" s="309" t="s">
        <v>446</v>
      </c>
      <c r="C29" s="334" t="s">
        <v>447</v>
      </c>
      <c r="D29" s="300">
        <v>5.71</v>
      </c>
      <c r="E29" s="317"/>
      <c r="F29" s="335"/>
      <c r="G29" s="336"/>
      <c r="H29" s="341"/>
      <c r="I29" s="352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296"/>
      <c r="W29" s="296"/>
      <c r="X29" s="296"/>
      <c r="Y29" s="361"/>
      <c r="Z29" s="363"/>
      <c r="AA29" s="298"/>
      <c r="AB29" s="339"/>
      <c r="AC29" s="316"/>
      <c r="AD29" s="313"/>
      <c r="AE29" s="314">
        <v>0</v>
      </c>
      <c r="AF29" s="296"/>
    </row>
    <row r="30" spans="1:32" ht="16.5" thickBot="1">
      <c r="A30" s="318" t="s">
        <v>448</v>
      </c>
      <c r="B30" s="309" t="s">
        <v>449</v>
      </c>
      <c r="C30" s="334" t="s">
        <v>450</v>
      </c>
      <c r="D30" s="300">
        <v>20</v>
      </c>
      <c r="E30" s="317"/>
      <c r="F30" s="301"/>
      <c r="G30" s="301"/>
      <c r="H30" s="301"/>
      <c r="I30" s="351">
        <f>IF(SUM(I5:I29)&gt;3651,"Supero el valor",SUM(I5:I29))</f>
        <v>2377.19</v>
      </c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296"/>
      <c r="W30" s="296"/>
      <c r="X30" s="296"/>
      <c r="Y30" s="345"/>
      <c r="Z30" s="296"/>
      <c r="AA30" s="298"/>
      <c r="AB30" s="339"/>
      <c r="AC30" s="316"/>
      <c r="AD30" s="313"/>
      <c r="AE30" s="314">
        <v>0</v>
      </c>
      <c r="AF30" s="296"/>
    </row>
    <row r="31" spans="1:32" ht="16.5" thickBot="1">
      <c r="A31" s="318" t="s">
        <v>451</v>
      </c>
      <c r="B31" s="309" t="s">
        <v>141</v>
      </c>
      <c r="C31" s="299" t="s">
        <v>371</v>
      </c>
      <c r="D31" s="300">
        <v>27.65</v>
      </c>
      <c r="E31" s="317"/>
      <c r="F31" s="301"/>
      <c r="G31" s="301"/>
      <c r="H31" s="301"/>
      <c r="I31" s="301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296"/>
      <c r="W31" s="296"/>
      <c r="X31" s="296"/>
      <c r="Y31" s="296"/>
      <c r="Z31" s="296"/>
      <c r="AA31" s="345"/>
      <c r="AB31" s="342"/>
      <c r="AC31" s="343"/>
      <c r="AD31" s="344"/>
      <c r="AE31" s="364">
        <f>IF(SUM(AE5:AE30)&gt;3651,"Supero el valor",SUM(AE5:AE30))</f>
        <v>0</v>
      </c>
      <c r="AF31" s="360"/>
    </row>
    <row r="32" spans="1:32">
      <c r="A32" s="318" t="s">
        <v>452</v>
      </c>
      <c r="B32" s="309" t="s">
        <v>141</v>
      </c>
      <c r="C32" s="299" t="s">
        <v>371</v>
      </c>
      <c r="D32" s="300">
        <v>27</v>
      </c>
      <c r="E32" s="303"/>
      <c r="F32" s="301"/>
      <c r="G32" s="301"/>
      <c r="H32" s="301"/>
      <c r="I32" s="301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296"/>
      <c r="W32" s="296"/>
      <c r="X32" s="296"/>
      <c r="Y32" s="296"/>
      <c r="Z32" s="296"/>
      <c r="AA32" s="296"/>
      <c r="AB32" s="296"/>
      <c r="AC32" s="296"/>
      <c r="AD32" s="296"/>
      <c r="AE32" s="362"/>
      <c r="AF32" s="296"/>
    </row>
    <row r="33" spans="1:32">
      <c r="A33" s="318">
        <v>167610</v>
      </c>
      <c r="B33" s="309" t="s">
        <v>453</v>
      </c>
      <c r="C33" s="334" t="s">
        <v>454</v>
      </c>
      <c r="D33" s="300">
        <v>9.98</v>
      </c>
      <c r="E33" s="303"/>
      <c r="F33" s="301"/>
      <c r="G33" s="301"/>
      <c r="H33" s="301"/>
      <c r="I33" s="301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296"/>
      <c r="W33" s="296"/>
      <c r="X33" s="296"/>
      <c r="Y33" s="296"/>
      <c r="Z33" s="306"/>
      <c r="AA33" s="296"/>
      <c r="AB33" s="296"/>
      <c r="AC33" s="296"/>
      <c r="AD33" s="296"/>
      <c r="AE33" s="296"/>
      <c r="AF33" s="296"/>
    </row>
    <row r="34" spans="1:32">
      <c r="A34" s="318">
        <v>15228</v>
      </c>
      <c r="B34" s="309" t="s">
        <v>455</v>
      </c>
      <c r="C34" s="334" t="s">
        <v>450</v>
      </c>
      <c r="D34" s="314">
        <v>20</v>
      </c>
      <c r="E34" s="303"/>
      <c r="F34" s="301"/>
      <c r="G34" s="301"/>
      <c r="H34" s="301"/>
      <c r="I34" s="301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296"/>
      <c r="W34" s="296"/>
      <c r="X34" s="296"/>
      <c r="Y34" s="296"/>
      <c r="Z34" s="346"/>
      <c r="AA34" s="296"/>
      <c r="AB34" s="296"/>
      <c r="AC34" s="296"/>
      <c r="AD34" s="296"/>
      <c r="AE34" s="296"/>
      <c r="AF34" s="296"/>
    </row>
    <row r="35" spans="1:32">
      <c r="A35" s="318"/>
      <c r="B35" s="309"/>
      <c r="C35" s="334"/>
      <c r="D35" s="314"/>
      <c r="E35" s="306"/>
      <c r="F35" s="301"/>
      <c r="G35" s="301"/>
      <c r="H35" s="301"/>
      <c r="I35" s="301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296"/>
      <c r="W35" s="296"/>
      <c r="X35" s="296"/>
      <c r="Y35" s="296"/>
      <c r="Z35" s="306"/>
      <c r="AA35" s="296"/>
      <c r="AB35" s="296"/>
      <c r="AC35" s="296"/>
      <c r="AD35" s="296"/>
      <c r="AE35" s="296"/>
      <c r="AF35" s="296"/>
    </row>
    <row r="36" spans="1:32">
      <c r="A36" s="318"/>
      <c r="B36" s="326"/>
      <c r="C36" s="347"/>
      <c r="D36" s="314"/>
      <c r="E36" s="306"/>
      <c r="F36" s="301"/>
      <c r="G36" s="301"/>
      <c r="H36" s="301"/>
      <c r="I36" s="301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296"/>
      <c r="W36" s="296"/>
      <c r="X36" s="296"/>
      <c r="Y36" s="296"/>
      <c r="Z36" s="306"/>
      <c r="AA36" s="296"/>
      <c r="AB36" s="296"/>
      <c r="AC36" s="296"/>
      <c r="AD36" s="296"/>
      <c r="AE36" s="296"/>
      <c r="AF36" s="296"/>
    </row>
    <row r="37" spans="1:32">
      <c r="A37" s="318"/>
      <c r="B37" s="309"/>
      <c r="C37" s="334"/>
      <c r="D37" s="314"/>
      <c r="E37" s="306"/>
      <c r="F37" s="301"/>
      <c r="G37" s="301"/>
      <c r="H37" s="301"/>
      <c r="I37" s="301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296"/>
      <c r="W37" s="296"/>
      <c r="X37" s="296"/>
      <c r="Y37" s="296"/>
      <c r="Z37" s="306"/>
      <c r="AA37" s="296"/>
      <c r="AB37" s="296"/>
      <c r="AC37" s="296"/>
      <c r="AD37" s="296"/>
      <c r="AE37" s="296"/>
      <c r="AF37" s="296"/>
    </row>
    <row r="38" spans="1:32">
      <c r="A38" s="318"/>
      <c r="B38" s="309"/>
      <c r="C38" s="334"/>
      <c r="D38" s="314"/>
      <c r="E38" s="306"/>
      <c r="F38" s="301"/>
      <c r="G38" s="301"/>
      <c r="H38" s="301"/>
      <c r="I38" s="301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296"/>
      <c r="W38" s="296"/>
      <c r="X38" s="296"/>
      <c r="Y38" s="296"/>
      <c r="Z38" s="306"/>
      <c r="AA38" s="296"/>
      <c r="AB38" s="296"/>
      <c r="AC38" s="296"/>
      <c r="AD38" s="296"/>
      <c r="AE38" s="296"/>
      <c r="AF38" s="296"/>
    </row>
    <row r="39" spans="1:32">
      <c r="A39" s="318"/>
      <c r="B39" s="309"/>
      <c r="C39" s="334"/>
      <c r="D39" s="314"/>
      <c r="E39" s="306"/>
      <c r="F39" s="301"/>
      <c r="G39" s="301"/>
      <c r="H39" s="301"/>
      <c r="I39" s="301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296"/>
      <c r="W39" s="296"/>
      <c r="X39" s="296"/>
      <c r="Y39" s="296"/>
      <c r="Z39" s="306"/>
      <c r="AA39" s="296"/>
      <c r="AB39" s="296"/>
      <c r="AC39" s="296"/>
      <c r="AD39" s="296"/>
      <c r="AE39" s="296"/>
      <c r="AF39" s="296"/>
    </row>
    <row r="40" spans="1:32">
      <c r="A40" s="318"/>
      <c r="B40" s="309"/>
      <c r="C40" s="334"/>
      <c r="D40" s="314"/>
      <c r="E40" s="306"/>
      <c r="F40" s="301"/>
      <c r="G40" s="301"/>
      <c r="H40" s="301"/>
      <c r="I40" s="301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296"/>
      <c r="W40" s="296"/>
      <c r="X40" s="296"/>
      <c r="Y40" s="296"/>
      <c r="Z40" s="306"/>
      <c r="AA40" s="296"/>
      <c r="AB40" s="296"/>
      <c r="AC40" s="296"/>
      <c r="AD40" s="296"/>
      <c r="AE40" s="296"/>
      <c r="AF40" s="296"/>
    </row>
    <row r="41" spans="1:32">
      <c r="A41" s="318"/>
      <c r="B41" s="326"/>
      <c r="C41" s="347"/>
      <c r="D41" s="314"/>
      <c r="E41" s="306"/>
      <c r="F41" s="301"/>
      <c r="G41" s="301"/>
      <c r="H41" s="301"/>
      <c r="I41" s="301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296"/>
      <c r="W41" s="296"/>
      <c r="X41" s="296"/>
      <c r="Y41" s="296"/>
      <c r="Z41" s="306"/>
      <c r="AA41" s="296"/>
      <c r="AB41" s="296"/>
      <c r="AC41" s="296"/>
      <c r="AD41" s="296"/>
      <c r="AE41" s="296"/>
      <c r="AF41" s="296"/>
    </row>
    <row r="42" spans="1:32">
      <c r="A42" s="318"/>
      <c r="B42" s="326"/>
      <c r="C42" s="347"/>
      <c r="D42" s="314"/>
      <c r="E42" s="306"/>
      <c r="F42" s="301"/>
      <c r="G42" s="301"/>
      <c r="H42" s="301"/>
      <c r="I42" s="301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296"/>
      <c r="W42" s="296"/>
      <c r="X42" s="296"/>
      <c r="Y42" s="296"/>
      <c r="Z42" s="306"/>
      <c r="AA42" s="296"/>
      <c r="AB42" s="296"/>
      <c r="AC42" s="296"/>
      <c r="AD42" s="296"/>
      <c r="AE42" s="296"/>
      <c r="AF42" s="296"/>
    </row>
    <row r="43" spans="1:32">
      <c r="A43" s="318"/>
      <c r="B43" s="326"/>
      <c r="C43" s="347"/>
      <c r="D43" s="314"/>
      <c r="E43" s="296"/>
      <c r="F43" s="301"/>
      <c r="G43" s="301"/>
      <c r="H43" s="301"/>
      <c r="I43" s="301"/>
      <c r="J43" s="296"/>
      <c r="K43" s="296"/>
      <c r="L43" s="296"/>
      <c r="M43" s="296"/>
      <c r="N43" s="296"/>
      <c r="O43" s="296"/>
      <c r="P43" s="306"/>
      <c r="Q43" s="306"/>
      <c r="R43" s="306"/>
      <c r="S43" s="306"/>
      <c r="T43" s="306"/>
      <c r="U43" s="296"/>
      <c r="V43" s="296"/>
      <c r="W43" s="296"/>
      <c r="X43" s="296"/>
      <c r="Y43" s="296"/>
      <c r="Z43" s="296"/>
      <c r="AA43" s="296"/>
      <c r="AB43" s="296"/>
      <c r="AC43" s="296"/>
      <c r="AD43" s="296"/>
      <c r="AE43" s="296"/>
      <c r="AF43" s="296"/>
    </row>
    <row r="44" spans="1:32">
      <c r="A44" s="318"/>
      <c r="B44" s="309"/>
      <c r="C44" s="334"/>
      <c r="D44" s="314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306"/>
      <c r="Q44" s="306"/>
      <c r="R44" s="306"/>
      <c r="S44" s="306"/>
      <c r="T44" s="306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</row>
    <row r="45" spans="1:32">
      <c r="A45" s="318"/>
      <c r="B45" s="326"/>
      <c r="C45" s="347"/>
      <c r="D45" s="314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306"/>
      <c r="Q45" s="306"/>
      <c r="R45" s="306"/>
      <c r="S45" s="306"/>
      <c r="T45" s="306"/>
      <c r="U45" s="296"/>
      <c r="V45" s="296"/>
      <c r="W45" s="296"/>
      <c r="X45" s="296"/>
      <c r="Y45" s="296"/>
      <c r="Z45" s="296"/>
      <c r="AA45" s="296"/>
      <c r="AB45" s="296"/>
      <c r="AC45" s="296"/>
      <c r="AD45" s="296"/>
      <c r="AE45" s="296"/>
      <c r="AF45" s="296"/>
    </row>
    <row r="46" spans="1:32">
      <c r="A46" s="318"/>
      <c r="B46" s="326"/>
      <c r="C46" s="347"/>
      <c r="D46" s="314"/>
      <c r="E46" s="296"/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306"/>
      <c r="Q46" s="306"/>
      <c r="R46" s="306"/>
      <c r="S46" s="306"/>
      <c r="T46" s="306"/>
      <c r="U46" s="296"/>
      <c r="V46" s="296"/>
      <c r="W46" s="296"/>
      <c r="X46" s="296"/>
      <c r="Y46" s="296"/>
      <c r="Z46" s="296"/>
      <c r="AA46" s="296"/>
      <c r="AB46" s="296"/>
      <c r="AC46" s="296"/>
      <c r="AD46" s="296"/>
      <c r="AE46" s="296"/>
      <c r="AF46" s="296"/>
    </row>
    <row r="47" spans="1:32">
      <c r="A47" s="318"/>
      <c r="B47" s="326"/>
      <c r="C47" s="347"/>
      <c r="D47" s="314"/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306"/>
      <c r="Q47" s="306"/>
      <c r="R47" s="306"/>
      <c r="S47" s="306"/>
      <c r="T47" s="306"/>
      <c r="U47" s="296"/>
      <c r="V47" s="296"/>
      <c r="W47" s="296"/>
      <c r="X47" s="296"/>
      <c r="Y47" s="296"/>
      <c r="Z47" s="296"/>
      <c r="AA47" s="296"/>
      <c r="AB47" s="296"/>
      <c r="AC47" s="296"/>
      <c r="AD47" s="296"/>
      <c r="AE47" s="296"/>
      <c r="AF47" s="296"/>
    </row>
    <row r="48" spans="1:32">
      <c r="A48" s="318"/>
      <c r="B48" s="326"/>
      <c r="C48" s="347"/>
      <c r="D48" s="314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306"/>
      <c r="Q48" s="306"/>
      <c r="R48" s="306"/>
      <c r="S48" s="306"/>
      <c r="T48" s="306"/>
      <c r="U48" s="296"/>
      <c r="V48" s="296"/>
      <c r="W48" s="296"/>
      <c r="X48" s="296"/>
      <c r="Y48" s="296"/>
      <c r="Z48" s="296"/>
      <c r="AA48" s="296"/>
      <c r="AB48" s="296"/>
      <c r="AC48" s="296"/>
      <c r="AD48" s="296"/>
      <c r="AE48" s="296"/>
      <c r="AF48" s="296"/>
    </row>
    <row r="49" spans="1:32">
      <c r="A49" s="318"/>
      <c r="B49" s="309"/>
      <c r="C49" s="334"/>
      <c r="D49" s="314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306"/>
      <c r="Q49" s="306"/>
      <c r="R49" s="306"/>
      <c r="S49" s="306"/>
      <c r="T49" s="306"/>
      <c r="U49" s="296"/>
      <c r="V49" s="296"/>
      <c r="W49" s="296"/>
      <c r="X49" s="296"/>
      <c r="Y49" s="296"/>
      <c r="Z49" s="296"/>
      <c r="AA49" s="296"/>
      <c r="AB49" s="296"/>
      <c r="AC49" s="296"/>
      <c r="AD49" s="296"/>
      <c r="AE49" s="296"/>
      <c r="AF49" s="296"/>
    </row>
    <row r="50" spans="1:32">
      <c r="A50" s="318"/>
      <c r="B50" s="326"/>
      <c r="C50" s="347"/>
      <c r="D50" s="314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296"/>
      <c r="W50" s="296"/>
      <c r="X50" s="296"/>
      <c r="Y50" s="296"/>
      <c r="Z50" s="296"/>
      <c r="AA50" s="296"/>
      <c r="AB50" s="296"/>
      <c r="AC50" s="296"/>
      <c r="AD50" s="296"/>
      <c r="AE50" s="296"/>
      <c r="AF50" s="296"/>
    </row>
    <row r="51" spans="1:32">
      <c r="A51" s="318"/>
      <c r="B51" s="326"/>
      <c r="C51" s="347"/>
      <c r="D51" s="314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96"/>
      <c r="R51" s="296"/>
      <c r="S51" s="296"/>
      <c r="T51" s="296"/>
      <c r="U51" s="296"/>
      <c r="V51" s="296"/>
      <c r="W51" s="296"/>
      <c r="X51" s="296"/>
      <c r="Y51" s="296"/>
      <c r="Z51" s="296"/>
      <c r="AA51" s="296"/>
      <c r="AB51" s="296"/>
      <c r="AC51" s="296"/>
      <c r="AD51" s="296"/>
      <c r="AE51" s="296"/>
      <c r="AF51" s="296"/>
    </row>
    <row r="52" spans="1:32">
      <c r="A52" s="318"/>
      <c r="B52" s="326"/>
      <c r="C52" s="347"/>
      <c r="D52" s="314"/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6"/>
      <c r="Y52" s="296"/>
      <c r="Z52" s="296"/>
      <c r="AA52" s="296"/>
      <c r="AB52" s="296"/>
      <c r="AC52" s="296"/>
      <c r="AD52" s="296"/>
      <c r="AE52" s="296"/>
      <c r="AF52" s="296"/>
    </row>
    <row r="53" spans="1:32">
      <c r="A53" s="318"/>
      <c r="B53" s="326"/>
      <c r="C53" s="347"/>
      <c r="D53" s="314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  <c r="AD53" s="296"/>
      <c r="AE53" s="296"/>
      <c r="AF53" s="296"/>
    </row>
    <row r="54" spans="1:32" ht="15.75" thickBot="1">
      <c r="A54" s="318"/>
      <c r="B54" s="326"/>
      <c r="C54" s="347"/>
      <c r="D54" s="348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  <c r="X54" s="296"/>
      <c r="Y54" s="296"/>
      <c r="Z54" s="296"/>
      <c r="AA54" s="296"/>
      <c r="AB54" s="296"/>
      <c r="AC54" s="296"/>
      <c r="AD54" s="296"/>
      <c r="AE54" s="296"/>
      <c r="AF54" s="296"/>
    </row>
    <row r="55" spans="1:32" ht="16.5" thickBot="1">
      <c r="A55" s="349"/>
      <c r="B55" s="345"/>
      <c r="C55" s="350"/>
      <c r="D55" s="351">
        <f>SUMIF(D5:D54,"&lt;3651")</f>
        <v>1357.62</v>
      </c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296"/>
      <c r="P55" s="296"/>
      <c r="Q55" s="296"/>
      <c r="R55" s="296"/>
      <c r="S55" s="296"/>
      <c r="T55" s="296"/>
      <c r="U55" s="296"/>
      <c r="V55" s="296"/>
      <c r="W55" s="296"/>
      <c r="X55" s="296"/>
      <c r="Y55" s="296"/>
      <c r="Z55" s="296"/>
      <c r="AA55" s="296"/>
      <c r="AB55" s="296"/>
      <c r="AC55" s="296"/>
      <c r="AD55" s="296"/>
      <c r="AE55" s="296"/>
      <c r="AF55" s="296"/>
    </row>
    <row r="56" spans="1:32">
      <c r="A56" s="349"/>
      <c r="B56" s="345"/>
      <c r="C56" s="345"/>
      <c r="D56" s="296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  <c r="X56" s="296"/>
      <c r="Y56" s="296"/>
      <c r="Z56" s="296"/>
      <c r="AA56" s="296"/>
      <c r="AB56" s="296"/>
      <c r="AC56" s="296"/>
      <c r="AD56" s="296"/>
      <c r="AE56" s="296"/>
      <c r="AF56" s="296"/>
    </row>
    <row r="57" spans="1:32">
      <c r="A57" s="296"/>
      <c r="B57" s="296"/>
      <c r="C57" s="296"/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  <c r="X57" s="296"/>
      <c r="Y57" s="296"/>
      <c r="Z57" s="296"/>
      <c r="AA57" s="296"/>
      <c r="AB57" s="296"/>
      <c r="AC57" s="296"/>
      <c r="AD57" s="296"/>
      <c r="AE57" s="296"/>
      <c r="AF57" s="296"/>
    </row>
    <row r="58" spans="1:32">
      <c r="A58" s="296"/>
      <c r="B58" s="296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6"/>
      <c r="X58" s="296"/>
      <c r="Y58" s="296"/>
      <c r="Z58" s="296"/>
      <c r="AA58" s="296"/>
      <c r="AB58" s="296"/>
      <c r="AC58" s="296"/>
      <c r="AD58" s="296"/>
      <c r="AE58" s="296"/>
      <c r="AF58" s="296"/>
    </row>
  </sheetData>
  <dataConsolidate/>
  <mergeCells count="6">
    <mergeCell ref="AA3:AE3"/>
    <mergeCell ref="A3:D4"/>
    <mergeCell ref="F3:I3"/>
    <mergeCell ref="K3:N3"/>
    <mergeCell ref="P3:T3"/>
    <mergeCell ref="V3:Y3"/>
  </mergeCells>
  <dataValidations xWindow="690" yWindow="559" count="8">
    <dataValidation type="decimal" allowBlank="1" showInputMessage="1" showErrorMessage="1" errorTitle="Sobrepaso el valor!" error="No sobrepasar el valor._x000a_" promptTitle="Valores correctos " prompt="No sobrepasar los 3650." sqref="I30">
      <formula1>0</formula1>
      <formula2>3650</formula2>
    </dataValidation>
    <dataValidation type="decimal" allowBlank="1" showInputMessage="1" showErrorMessage="1" errorTitle="El valor es muy elevado " error="Por favor verifique los datos_x000a_" promptTitle="No sobrepasar el valor!" prompt="No sobrepasar el valor de 3650" sqref="AE27:AE31 AE5:AE23 AE25 T5:T27 N5:N23 I5:I29">
      <formula1>0</formula1>
      <formula2>3650</formula2>
    </dataValidation>
    <dataValidation type="decimal" errorStyle="warning" allowBlank="1" showInputMessage="1" showErrorMessage="1" errorTitle="Sobrepaso el valor!" error="Porfavor revise los datos." promptTitle="Valores correctos." prompt="No sobrepasar los 3650" sqref="D55">
      <formula1>0</formula1>
      <formula2>3650</formula2>
    </dataValidation>
    <dataValidation type="decimal" errorStyle="warning" operator="lessThanOrEqual" allowBlank="1" showInputMessage="1" showErrorMessage="1" errorTitle="Sobrepaso el valor!" error="Porfavor revise los datos._x000a_" promptTitle="Valores correctos." prompt="No sobrepasar el valor de 3650" sqref="N24">
      <formula1>3651</formula1>
    </dataValidation>
    <dataValidation type="decimal" allowBlank="1" showInputMessage="1" showErrorMessage="1" errorTitle="Sobrepaso el valor!" error="Porfavor revise los datos." promptTitle="Valores correctos." prompt="No sobrepasar el valor de 3650." sqref="T28">
      <formula1>0</formula1>
      <formula2>3650</formula2>
    </dataValidation>
    <dataValidation type="decimal" allowBlank="1" showInputMessage="1" showErrorMessage="1" errorTitle="Sobrepaso el valor!" error="Porfavor revise los datos._x000a_" promptTitle="Valores correctos." prompt="No sobrepasar de 3650._x000a_" sqref="Y28">
      <formula1>0</formula1>
      <formula2>3650</formula2>
    </dataValidation>
    <dataValidation type="decimal" allowBlank="1" showInputMessage="1" showErrorMessage="1" errorTitle="El valor es muy elevado " error="Por favor verifique los datos_x000a_" promptTitle="Valores correctos." prompt="No sobrepasar el valor de 3650" sqref="AE24 Y5:Y27">
      <formula1>0</formula1>
      <formula2>3650</formula2>
    </dataValidation>
    <dataValidation type="decimal" allowBlank="1" showInputMessage="1" showErrorMessage="1" errorTitle="El valor es muy elevado " error="Por favor verifique los datos._x000a_" promptTitle="No sobrepasar el valor!" prompt="No sobrepasar el valor de 3650" sqref="AE26">
      <formula1>0</formula1>
      <formula2>3650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>
    <tabColor rgb="FF0000CC"/>
    <pageSetUpPr fitToPage="1"/>
  </sheetPr>
  <dimension ref="A1:AJ66"/>
  <sheetViews>
    <sheetView zoomScaleNormal="100" workbookViewId="0">
      <selection activeCell="G25" sqref="G25"/>
    </sheetView>
  </sheetViews>
  <sheetFormatPr baseColWidth="10" defaultRowHeight="15"/>
  <cols>
    <col min="1" max="1" width="12" customWidth="1"/>
    <col min="2" max="2" width="16" customWidth="1"/>
    <col min="3" max="3" width="12.5703125" customWidth="1"/>
    <col min="4" max="4" width="12.5703125" hidden="1" customWidth="1"/>
    <col min="5" max="5" width="12.85546875" customWidth="1"/>
    <col min="6" max="6" width="12.140625" customWidth="1"/>
    <col min="7" max="7" width="12" customWidth="1"/>
    <col min="8" max="8" width="12.140625" customWidth="1"/>
    <col min="9" max="9" width="12.85546875" customWidth="1"/>
    <col min="10" max="10" width="12.28515625" hidden="1" customWidth="1"/>
    <col min="11" max="11" width="12.28515625" style="15" hidden="1" customWidth="1"/>
    <col min="12" max="12" width="12.85546875" style="15" hidden="1" customWidth="1"/>
    <col min="13" max="13" width="18.140625" style="15" hidden="1" customWidth="1"/>
    <col min="14" max="14" width="12.28515625" hidden="1" customWidth="1"/>
    <col min="15" max="15" width="11.5703125" hidden="1" customWidth="1"/>
    <col min="16" max="16" width="8" customWidth="1"/>
    <col min="17" max="17" width="38" customWidth="1"/>
    <col min="18" max="18" width="16.7109375" style="148" customWidth="1"/>
    <col min="19" max="19" width="7.85546875" customWidth="1"/>
    <col min="20" max="20" width="16.5703125" customWidth="1"/>
    <col min="22" max="22" width="17.42578125" customWidth="1"/>
    <col min="23" max="23" width="13" bestFit="1" customWidth="1"/>
    <col min="24" max="24" width="12" bestFit="1" customWidth="1"/>
    <col min="25" max="25" width="15.7109375" customWidth="1"/>
    <col min="26" max="26" width="22.7109375" customWidth="1"/>
    <col min="27" max="27" width="12" bestFit="1" customWidth="1"/>
    <col min="28" max="28" width="21.7109375" customWidth="1"/>
    <col min="29" max="29" width="12.42578125" customWidth="1"/>
    <col min="30" max="30" width="14.140625" customWidth="1"/>
    <col min="34" max="34" width="11.42578125" style="15"/>
  </cols>
  <sheetData>
    <row r="1" spans="1:36" ht="20.25" customHeight="1" thickTop="1" thickBot="1">
      <c r="A1" s="22" t="s">
        <v>22</v>
      </c>
      <c r="E1" s="2" t="s">
        <v>71</v>
      </c>
      <c r="F1" s="39"/>
      <c r="G1" s="39" t="str">
        <f>ENERO!A2</f>
        <v>Hernesto Burbano</v>
      </c>
      <c r="H1" s="39"/>
      <c r="Q1" s="267" t="s">
        <v>277</v>
      </c>
      <c r="V1" s="404" t="s">
        <v>297</v>
      </c>
      <c r="W1" s="405"/>
      <c r="X1" s="405"/>
      <c r="Y1" s="406"/>
    </row>
    <row r="2" spans="1:36" ht="30.75" customHeight="1" thickTop="1" thickBot="1">
      <c r="A2" s="260" t="s">
        <v>53</v>
      </c>
      <c r="B2" s="260" t="s">
        <v>43</v>
      </c>
      <c r="C2" s="260" t="s">
        <v>44</v>
      </c>
      <c r="D2" s="260" t="s">
        <v>54</v>
      </c>
      <c r="E2" s="260" t="s">
        <v>41</v>
      </c>
      <c r="F2" s="260" t="s">
        <v>45</v>
      </c>
      <c r="G2" s="260" t="s">
        <v>232</v>
      </c>
      <c r="H2" s="260" t="s">
        <v>79</v>
      </c>
      <c r="I2" s="260" t="s">
        <v>38</v>
      </c>
      <c r="J2" s="78" t="s">
        <v>39</v>
      </c>
      <c r="K2" s="186" t="s">
        <v>55</v>
      </c>
      <c r="L2" s="186" t="s">
        <v>198</v>
      </c>
      <c r="M2" s="186" t="s">
        <v>105</v>
      </c>
      <c r="N2" s="78" t="s">
        <v>91</v>
      </c>
      <c r="O2" s="78" t="s">
        <v>91</v>
      </c>
      <c r="Q2" s="16" t="s">
        <v>0</v>
      </c>
      <c r="R2" s="123">
        <f>+B20</f>
        <v>109420.95999999999</v>
      </c>
      <c r="S2" s="119"/>
      <c r="T2" s="119"/>
      <c r="V2" s="115" t="s">
        <v>137</v>
      </c>
      <c r="W2" s="44" t="s">
        <v>56</v>
      </c>
      <c r="X2" s="44" t="s">
        <v>57</v>
      </c>
      <c r="Y2" s="133" t="s">
        <v>138</v>
      </c>
      <c r="AC2" s="407" t="s">
        <v>202</v>
      </c>
      <c r="AD2" s="407"/>
      <c r="AE2" s="407"/>
      <c r="AF2" s="407"/>
      <c r="AG2" s="407"/>
      <c r="AH2" s="407"/>
      <c r="AI2" s="407"/>
    </row>
    <row r="3" spans="1:36" ht="15" customHeight="1" thickTop="1">
      <c r="A3" t="s">
        <v>23</v>
      </c>
      <c r="B3" s="285">
        <v>0</v>
      </c>
      <c r="C3" s="285">
        <f>+ENERO!H33</f>
        <v>1250</v>
      </c>
      <c r="D3" s="286" t="e">
        <f>+ENERO!#REF!</f>
        <v>#REF!</v>
      </c>
      <c r="E3" s="286">
        <f>+ENERO!G45</f>
        <v>0</v>
      </c>
      <c r="F3" s="286">
        <f>+ENERO!H45</f>
        <v>651.02</v>
      </c>
      <c r="G3" s="286"/>
      <c r="H3" s="286">
        <f>+F3*0.12</f>
        <v>78.122399999999999</v>
      </c>
      <c r="I3" s="286">
        <f>+ENERO!L33</f>
        <v>11.399999999999997</v>
      </c>
      <c r="J3" s="15">
        <f>+ENERO!M33</f>
        <v>23.140799999999995</v>
      </c>
      <c r="K3" s="15">
        <v>0</v>
      </c>
      <c r="L3" s="15">
        <v>0</v>
      </c>
      <c r="M3" s="15">
        <v>0</v>
      </c>
      <c r="N3" s="15">
        <f t="shared" ref="N3:N8" si="0">+B3+C3-K3-L3</f>
        <v>1250</v>
      </c>
      <c r="O3" s="15">
        <f t="shared" ref="O3:O8" si="1">+E3+F3-M3</f>
        <v>651.02</v>
      </c>
      <c r="Q3" s="16" t="s">
        <v>201</v>
      </c>
      <c r="R3" s="123">
        <f>+C20</f>
        <v>11302</v>
      </c>
      <c r="S3" s="119"/>
      <c r="T3" s="119"/>
      <c r="V3" s="393" t="s">
        <v>139</v>
      </c>
      <c r="W3" s="394">
        <v>11315.01</v>
      </c>
      <c r="X3" s="382" t="s">
        <v>139</v>
      </c>
      <c r="Y3" s="383">
        <v>0</v>
      </c>
      <c r="AC3" s="16"/>
      <c r="AD3" s="16" t="s">
        <v>206</v>
      </c>
      <c r="AE3" s="16" t="s">
        <v>238</v>
      </c>
      <c r="AF3" s="16"/>
      <c r="AG3" s="16" t="s">
        <v>5</v>
      </c>
      <c r="AH3" s="27" t="s">
        <v>203</v>
      </c>
      <c r="AI3" s="16" t="s">
        <v>207</v>
      </c>
      <c r="AJ3" s="19" t="s">
        <v>261</v>
      </c>
    </row>
    <row r="4" spans="1:36">
      <c r="A4" t="s">
        <v>24</v>
      </c>
      <c r="B4" s="285">
        <f>+FEBRERO!F29</f>
        <v>6560.8700000000008</v>
      </c>
      <c r="C4" s="285">
        <f>+FEBRERO!E29</f>
        <v>1236</v>
      </c>
      <c r="D4" s="286">
        <f>+FEBRERO!D29</f>
        <v>0</v>
      </c>
      <c r="E4" s="286">
        <f>+FEBRERO!D40</f>
        <v>0</v>
      </c>
      <c r="F4" s="286">
        <f>+FEBRERO!E40</f>
        <v>99.61</v>
      </c>
      <c r="G4" s="286"/>
      <c r="H4" s="286">
        <f t="shared" ref="H4:H8" si="2">+F4*0.12</f>
        <v>11.953199999999999</v>
      </c>
      <c r="I4" s="286">
        <f>+FEBRERO!I29</f>
        <v>616.24720000000002</v>
      </c>
      <c r="J4" s="15">
        <f>+FEBRERO!J29</f>
        <v>751.30439999999999</v>
      </c>
      <c r="K4" s="15">
        <v>0</v>
      </c>
      <c r="L4" s="15">
        <v>0</v>
      </c>
      <c r="M4" s="15">
        <v>0</v>
      </c>
      <c r="N4" s="15">
        <f t="shared" si="0"/>
        <v>7796.8700000000008</v>
      </c>
      <c r="O4" s="15">
        <f t="shared" si="1"/>
        <v>99.61</v>
      </c>
      <c r="Q4" s="37" t="s">
        <v>93</v>
      </c>
      <c r="R4" s="215">
        <f>+R2+R3</f>
        <v>120722.95999999999</v>
      </c>
      <c r="S4" s="119"/>
      <c r="T4" s="119"/>
      <c r="V4" s="388">
        <v>11315.01</v>
      </c>
      <c r="W4" s="384">
        <v>14416.01</v>
      </c>
      <c r="X4" s="384" t="s">
        <v>139</v>
      </c>
      <c r="Y4" s="385">
        <v>0.05</v>
      </c>
      <c r="AC4" s="16" t="s">
        <v>204</v>
      </c>
      <c r="AD4" s="27">
        <f>21200+6424.09</f>
        <v>27624.09</v>
      </c>
      <c r="AE4" s="16">
        <v>1710.52</v>
      </c>
      <c r="AF4" s="16"/>
      <c r="AG4" s="27">
        <f>AD4+AE4+AF4</f>
        <v>29334.61</v>
      </c>
      <c r="AH4" s="27">
        <v>3059.91</v>
      </c>
      <c r="AI4" s="16"/>
      <c r="AJ4" s="16">
        <v>0.79</v>
      </c>
    </row>
    <row r="5" spans="1:36">
      <c r="A5" t="s">
        <v>25</v>
      </c>
      <c r="B5" s="285">
        <f>+MARZO!F24</f>
        <v>7079.77</v>
      </c>
      <c r="C5" s="285">
        <f>+MARZO!E24</f>
        <v>1236</v>
      </c>
      <c r="D5" s="286" t="e">
        <f>+#REF!</f>
        <v>#REF!</v>
      </c>
      <c r="E5" s="286">
        <f>+MARZO!D37</f>
        <v>0</v>
      </c>
      <c r="F5" s="286">
        <f>+MARZO!E37</f>
        <v>26</v>
      </c>
      <c r="G5" s="286"/>
      <c r="H5" s="286">
        <f t="shared" si="2"/>
        <v>3.12</v>
      </c>
      <c r="I5" s="286">
        <f>+MARZO!I24</f>
        <v>707.97700000000009</v>
      </c>
      <c r="J5" s="15" t="e">
        <f>+#REF!</f>
        <v>#REF!</v>
      </c>
      <c r="K5" s="15">
        <v>0</v>
      </c>
      <c r="L5" s="15">
        <v>0</v>
      </c>
      <c r="M5" s="15">
        <v>0</v>
      </c>
      <c r="N5" s="15">
        <f t="shared" si="0"/>
        <v>8315.77</v>
      </c>
      <c r="O5" s="15">
        <f t="shared" si="1"/>
        <v>26</v>
      </c>
      <c r="Q5" s="37"/>
      <c r="R5" s="120"/>
      <c r="S5" s="119"/>
      <c r="T5" s="119"/>
      <c r="U5" s="391"/>
      <c r="V5" s="389">
        <v>14416.01</v>
      </c>
      <c r="W5" s="382">
        <v>18018.009999999998</v>
      </c>
      <c r="X5" s="382">
        <v>155</v>
      </c>
      <c r="Y5" s="383">
        <v>0.1</v>
      </c>
      <c r="AC5" s="16" t="s">
        <v>205</v>
      </c>
      <c r="AD5" s="27">
        <f>(360*12)</f>
        <v>4320</v>
      </c>
      <c r="AE5" s="16">
        <v>0</v>
      </c>
      <c r="AF5" s="16"/>
      <c r="AG5" s="27">
        <f>AD5+AE5+AF5</f>
        <v>4320</v>
      </c>
      <c r="AH5" s="27">
        <f>AD5*9.45%</f>
        <v>408.23999999999995</v>
      </c>
      <c r="AI5" s="16"/>
      <c r="AJ5" s="16">
        <v>0</v>
      </c>
    </row>
    <row r="6" spans="1:36">
      <c r="A6" t="s">
        <v>26</v>
      </c>
      <c r="B6" s="285">
        <f>+ABRIL!F26</f>
        <v>5578.88</v>
      </c>
      <c r="C6" s="285">
        <f>+ABRIL!E26</f>
        <v>970</v>
      </c>
      <c r="D6" s="286" t="e">
        <f>+#REF!</f>
        <v>#REF!</v>
      </c>
      <c r="E6" s="286">
        <f>+ABRIL!D37</f>
        <v>0</v>
      </c>
      <c r="F6" s="286">
        <f>+ABRIL!E37</f>
        <v>542.04999999999995</v>
      </c>
      <c r="G6" s="286"/>
      <c r="H6" s="286">
        <f t="shared" si="2"/>
        <v>65.045999999999992</v>
      </c>
      <c r="I6" s="286">
        <f>+ABRIL!I26</f>
        <v>557.88800000000003</v>
      </c>
      <c r="J6" s="15" t="e">
        <f>+#REF!</f>
        <v>#REF!</v>
      </c>
      <c r="K6" s="15">
        <v>0</v>
      </c>
      <c r="L6" s="15">
        <v>0</v>
      </c>
      <c r="M6" s="15">
        <v>0</v>
      </c>
      <c r="N6" s="15">
        <f t="shared" si="0"/>
        <v>6548.88</v>
      </c>
      <c r="O6" s="15">
        <f t="shared" si="1"/>
        <v>542.04999999999995</v>
      </c>
      <c r="Q6" s="121" t="s">
        <v>150</v>
      </c>
      <c r="R6" s="122">
        <f>SUM(R7:R13)</f>
        <v>19146.532199999998</v>
      </c>
      <c r="S6" s="119"/>
      <c r="T6" s="119"/>
      <c r="U6" s="391"/>
      <c r="V6" s="390">
        <v>18018.009999999998</v>
      </c>
      <c r="W6" s="382">
        <v>21639.01</v>
      </c>
      <c r="X6" s="382">
        <v>515</v>
      </c>
      <c r="Y6" s="383">
        <v>0.12</v>
      </c>
      <c r="Z6" s="17"/>
      <c r="AC6" s="16"/>
      <c r="AD6" s="27"/>
      <c r="AE6" s="16"/>
      <c r="AF6" s="16"/>
      <c r="AG6" s="280">
        <f>SUM(AG4:AG5)</f>
        <v>33654.61</v>
      </c>
      <c r="AH6" s="280">
        <f>+AH5+AH4</f>
        <v>3468.1499999999996</v>
      </c>
      <c r="AI6" s="27">
        <f>+AI5+AI4</f>
        <v>0</v>
      </c>
      <c r="AJ6" s="27">
        <v>0</v>
      </c>
    </row>
    <row r="7" spans="1:36">
      <c r="A7" t="s">
        <v>14</v>
      </c>
      <c r="B7" s="285">
        <f>+MAYO!F26</f>
        <v>51180.649999999994</v>
      </c>
      <c r="C7" s="285">
        <f>+MAYO!E26</f>
        <v>970</v>
      </c>
      <c r="D7" s="286" t="e">
        <f>+#REF!</f>
        <v>#REF!</v>
      </c>
      <c r="E7" s="286">
        <f>+MAYO!D36</f>
        <v>0</v>
      </c>
      <c r="F7" s="286">
        <f>+MAYO!E36</f>
        <v>37.68</v>
      </c>
      <c r="G7" s="286"/>
      <c r="H7" s="286">
        <f t="shared" si="2"/>
        <v>4.5215999999999994</v>
      </c>
      <c r="I7" s="286">
        <f>+MAYO!I26</f>
        <v>5118.0650000000005</v>
      </c>
      <c r="J7" s="15" t="e">
        <f>+#REF!</f>
        <v>#REF!</v>
      </c>
      <c r="K7" s="15">
        <v>0</v>
      </c>
      <c r="L7" s="15">
        <v>0</v>
      </c>
      <c r="M7" s="15">
        <v>0</v>
      </c>
      <c r="N7" s="15">
        <f t="shared" si="0"/>
        <v>52150.649999999994</v>
      </c>
      <c r="O7" s="15">
        <f t="shared" si="1"/>
        <v>37.68</v>
      </c>
      <c r="Q7" s="16" t="s">
        <v>151</v>
      </c>
      <c r="R7" s="118">
        <v>0</v>
      </c>
      <c r="S7" s="119"/>
      <c r="T7" s="119"/>
      <c r="U7" s="391"/>
      <c r="V7" s="390">
        <v>21639.01</v>
      </c>
      <c r="W7" s="384">
        <v>43268.01</v>
      </c>
      <c r="X7" s="384">
        <v>950</v>
      </c>
      <c r="Y7" s="385">
        <v>0.15</v>
      </c>
      <c r="AG7" s="15"/>
    </row>
    <row r="8" spans="1:36">
      <c r="A8" t="s">
        <v>15</v>
      </c>
      <c r="B8" s="285">
        <f>+JUNIO!F24</f>
        <v>5173.0999999999995</v>
      </c>
      <c r="C8" s="285">
        <f>+JUNIO!E24</f>
        <v>420</v>
      </c>
      <c r="D8" s="286" t="e">
        <f>+#REF!</f>
        <v>#REF!</v>
      </c>
      <c r="E8" s="286">
        <f>+JUNIO!D38</f>
        <v>0</v>
      </c>
      <c r="F8" s="286">
        <f>+JUNIO!E38</f>
        <v>6890.17</v>
      </c>
      <c r="G8" s="286"/>
      <c r="H8" s="286">
        <f t="shared" si="2"/>
        <v>826.82039999999995</v>
      </c>
      <c r="I8" s="286">
        <f>+JUNIO!I24</f>
        <v>517.31000000000006</v>
      </c>
      <c r="J8" s="15" t="e">
        <f>+#REF!</f>
        <v>#REF!</v>
      </c>
      <c r="K8" s="15">
        <v>0</v>
      </c>
      <c r="L8" s="15">
        <v>0</v>
      </c>
      <c r="M8" s="15">
        <v>0</v>
      </c>
      <c r="N8" s="15">
        <f t="shared" si="0"/>
        <v>5593.0999999999995</v>
      </c>
      <c r="O8" s="15">
        <f t="shared" si="1"/>
        <v>6890.17</v>
      </c>
      <c r="Q8" s="16" t="s">
        <v>6</v>
      </c>
      <c r="R8" s="123">
        <f>+F20+E20</f>
        <v>8554.5000000000018</v>
      </c>
      <c r="S8" s="119"/>
      <c r="T8" s="119"/>
      <c r="U8" s="391"/>
      <c r="V8" s="389">
        <v>43268.01</v>
      </c>
      <c r="W8" s="384">
        <v>64887.01</v>
      </c>
      <c r="X8" s="384">
        <v>4194</v>
      </c>
      <c r="Y8" s="385">
        <v>0.2</v>
      </c>
      <c r="AG8" s="15"/>
    </row>
    <row r="9" spans="1:36">
      <c r="A9" s="22" t="s">
        <v>9</v>
      </c>
      <c r="B9" s="287">
        <f t="shared" ref="B9:M9" si="3">SUM(B3:B8)</f>
        <v>75573.27</v>
      </c>
      <c r="C9" s="287">
        <f t="shared" si="3"/>
        <v>6082</v>
      </c>
      <c r="D9" s="287" t="e">
        <f t="shared" si="3"/>
        <v>#REF!</v>
      </c>
      <c r="E9" s="287">
        <f t="shared" si="3"/>
        <v>0</v>
      </c>
      <c r="F9" s="287">
        <f t="shared" si="3"/>
        <v>8246.5300000000007</v>
      </c>
      <c r="G9" s="287">
        <f t="shared" si="3"/>
        <v>0</v>
      </c>
      <c r="H9" s="287">
        <f t="shared" si="3"/>
        <v>989.58359999999993</v>
      </c>
      <c r="I9" s="287">
        <f t="shared" si="3"/>
        <v>7528.887200000001</v>
      </c>
      <c r="J9" s="24" t="e">
        <f t="shared" si="3"/>
        <v>#REF!</v>
      </c>
      <c r="K9" s="24">
        <f t="shared" si="3"/>
        <v>0</v>
      </c>
      <c r="L9" s="24">
        <f t="shared" si="3"/>
        <v>0</v>
      </c>
      <c r="M9" s="24">
        <f t="shared" si="3"/>
        <v>0</v>
      </c>
      <c r="N9" s="116"/>
      <c r="O9" s="116"/>
      <c r="Q9" s="16" t="s">
        <v>233</v>
      </c>
      <c r="R9" s="123">
        <f>+F41</f>
        <v>8986.9121999999988</v>
      </c>
      <c r="S9" s="119"/>
      <c r="T9" s="119"/>
      <c r="U9" s="391"/>
      <c r="V9" s="389">
        <v>64887.01</v>
      </c>
      <c r="W9" s="384">
        <v>86516.01</v>
      </c>
      <c r="X9" s="384">
        <v>8518</v>
      </c>
      <c r="Y9" s="385">
        <v>0.25</v>
      </c>
      <c r="AG9" s="15"/>
      <c r="AJ9" s="284">
        <v>0.14449999999999999</v>
      </c>
    </row>
    <row r="10" spans="1:36">
      <c r="B10" s="214"/>
      <c r="C10" s="214"/>
      <c r="D10" s="15"/>
      <c r="E10" s="15"/>
      <c r="F10" s="15"/>
      <c r="G10" s="15"/>
      <c r="H10" s="15"/>
      <c r="I10" s="15"/>
      <c r="J10" s="15"/>
      <c r="N10" s="15"/>
      <c r="O10" s="15"/>
      <c r="Q10" s="16" t="s">
        <v>226</v>
      </c>
      <c r="R10" s="123">
        <v>1605.12</v>
      </c>
      <c r="S10" s="119"/>
      <c r="T10" s="119"/>
      <c r="U10" s="391"/>
      <c r="V10" s="389">
        <v>86516.01</v>
      </c>
      <c r="W10" s="384">
        <v>115338.01</v>
      </c>
      <c r="X10" s="384">
        <v>13925</v>
      </c>
      <c r="Y10" s="385">
        <v>0.3</v>
      </c>
    </row>
    <row r="11" spans="1:36" ht="15" customHeight="1" thickBot="1">
      <c r="A11" t="s">
        <v>16</v>
      </c>
      <c r="B11" s="214">
        <f>+JULIO!F26</f>
        <v>7117.54</v>
      </c>
      <c r="C11" s="214">
        <f>+JULIO!E26</f>
        <v>1900</v>
      </c>
      <c r="D11" s="15" t="e">
        <f>+#REF!</f>
        <v>#REF!</v>
      </c>
      <c r="E11" s="15">
        <f>+JULIO!D37</f>
        <v>0</v>
      </c>
      <c r="F11" s="15">
        <f>+JULIO!E37</f>
        <v>33.200000000000003</v>
      </c>
      <c r="G11" s="15"/>
      <c r="H11" s="15">
        <f>+F11*0.12</f>
        <v>3.984</v>
      </c>
      <c r="I11" s="15">
        <f>+JULIO!I26</f>
        <v>711.75400000000002</v>
      </c>
      <c r="J11" s="15" t="e">
        <f>+#REF!</f>
        <v>#REF!</v>
      </c>
      <c r="K11" s="15">
        <v>0</v>
      </c>
      <c r="L11" s="15">
        <v>0</v>
      </c>
      <c r="M11" s="15">
        <v>0</v>
      </c>
      <c r="N11" s="15">
        <f t="shared" ref="N11:N16" si="4">+B11+C11-K11-L11</f>
        <v>9017.5400000000009</v>
      </c>
      <c r="O11" s="15">
        <f t="shared" ref="O11:O16" si="5">+E11+F11-M11</f>
        <v>33.200000000000003</v>
      </c>
      <c r="Q11" s="16" t="s">
        <v>94</v>
      </c>
      <c r="R11" s="123">
        <v>0</v>
      </c>
      <c r="S11" s="119"/>
      <c r="T11" s="119"/>
      <c r="U11" s="391"/>
      <c r="V11" s="392">
        <v>115338.01</v>
      </c>
      <c r="W11" s="386" t="s">
        <v>140</v>
      </c>
      <c r="X11" s="386">
        <v>22572</v>
      </c>
      <c r="Y11" s="387">
        <v>0.35</v>
      </c>
    </row>
    <row r="12" spans="1:36" ht="15" customHeight="1" thickTop="1">
      <c r="A12" t="s">
        <v>19</v>
      </c>
      <c r="B12" s="214">
        <f>+AGOSTO!F23</f>
        <v>4704.21</v>
      </c>
      <c r="C12" s="214">
        <f>+AGOSTO!E23</f>
        <v>250</v>
      </c>
      <c r="D12" s="15">
        <f>+AGOSTO!D23</f>
        <v>0</v>
      </c>
      <c r="E12" s="15">
        <f>+AGOSTO!D35</f>
        <v>0</v>
      </c>
      <c r="F12" s="15">
        <f>+AGOSTO!E35</f>
        <v>101.47</v>
      </c>
      <c r="G12" s="15"/>
      <c r="H12" s="15">
        <f t="shared" ref="H12:H16" si="6">+F12*0.12</f>
        <v>12.176399999999999</v>
      </c>
      <c r="I12" s="15">
        <f>+AGOSTO!I23</f>
        <v>470.42100000000005</v>
      </c>
      <c r="J12" s="15" t="e">
        <f>+#REF!</f>
        <v>#REF!</v>
      </c>
      <c r="K12" s="15">
        <v>0</v>
      </c>
      <c r="L12" s="15">
        <v>0</v>
      </c>
      <c r="M12" s="15">
        <v>0</v>
      </c>
      <c r="N12" s="15">
        <f t="shared" si="4"/>
        <v>4954.21</v>
      </c>
      <c r="O12" s="15">
        <f t="shared" si="5"/>
        <v>101.47</v>
      </c>
      <c r="Q12" s="16" t="s">
        <v>95</v>
      </c>
      <c r="R12" s="123">
        <v>0</v>
      </c>
      <c r="S12" s="119"/>
      <c r="T12" s="119"/>
      <c r="V12" s="46"/>
      <c r="W12" s="46"/>
      <c r="X12" s="46"/>
      <c r="Y12" s="46"/>
    </row>
    <row r="13" spans="1:36" ht="15" customHeight="1">
      <c r="A13" t="s">
        <v>17</v>
      </c>
      <c r="B13" s="214">
        <f>+SEPTIEMBRE!F22</f>
        <v>5279.7699999999986</v>
      </c>
      <c r="C13" s="214">
        <f>+SEPTIEMBRE!E22</f>
        <v>250</v>
      </c>
      <c r="D13" s="15">
        <f>+SEPTIEMBRE!D22</f>
        <v>0</v>
      </c>
      <c r="E13" s="15">
        <f>+SEPTIEMBRE!D34</f>
        <v>0</v>
      </c>
      <c r="F13" s="15">
        <f>+SEPTIEMBRE!E34</f>
        <v>14.93</v>
      </c>
      <c r="G13" s="15"/>
      <c r="H13" s="15">
        <f t="shared" si="6"/>
        <v>1.7915999999999999</v>
      </c>
      <c r="I13" s="15">
        <f>+SEPTIEMBRE!I22</f>
        <v>480.13720000000001</v>
      </c>
      <c r="J13" s="15" t="e">
        <f>+#REF!</f>
        <v>#REF!</v>
      </c>
      <c r="K13" s="15">
        <f>+SEPTIEMBRE!I22</f>
        <v>480.13720000000001</v>
      </c>
      <c r="L13" s="15">
        <v>0</v>
      </c>
      <c r="M13" s="15">
        <v>0</v>
      </c>
      <c r="N13" s="15">
        <f t="shared" si="4"/>
        <v>5049.6327999999985</v>
      </c>
      <c r="O13" s="15">
        <f t="shared" si="5"/>
        <v>14.93</v>
      </c>
      <c r="Q13" s="16" t="s">
        <v>96</v>
      </c>
      <c r="R13" s="123">
        <v>0</v>
      </c>
      <c r="S13" s="119"/>
      <c r="T13" s="119"/>
      <c r="V13" s="46"/>
      <c r="W13" s="46"/>
      <c r="X13" s="46"/>
      <c r="Y13" s="46"/>
    </row>
    <row r="14" spans="1:36" ht="15" customHeight="1">
      <c r="A14" t="s">
        <v>18</v>
      </c>
      <c r="B14" s="214">
        <f>+OCTUBRE!F22</f>
        <v>4073.1000000000004</v>
      </c>
      <c r="C14" s="214">
        <f>+OCTUBRE!E22</f>
        <v>670</v>
      </c>
      <c r="D14" s="15">
        <f>+OCTUBRE!D22</f>
        <v>0</v>
      </c>
      <c r="E14" s="15">
        <f>+OCTUBRE!D37</f>
        <v>0.6</v>
      </c>
      <c r="F14" s="15">
        <f>+OCTUBRE!E37</f>
        <v>49.750000000000007</v>
      </c>
      <c r="G14" s="15"/>
      <c r="H14" s="15">
        <f t="shared" si="6"/>
        <v>5.9700000000000006</v>
      </c>
      <c r="I14" s="15">
        <f>+OCTUBRE!I22</f>
        <v>363.47020000000003</v>
      </c>
      <c r="J14" s="15" t="e">
        <f>+#REF!</f>
        <v>#REF!</v>
      </c>
      <c r="K14" s="15">
        <f>+OCTUBRE!I22</f>
        <v>363.47020000000003</v>
      </c>
      <c r="L14" s="15">
        <v>0</v>
      </c>
      <c r="M14" s="15">
        <v>0</v>
      </c>
      <c r="N14" s="15">
        <f t="shared" si="4"/>
        <v>4379.6298000000006</v>
      </c>
      <c r="O14" s="15">
        <f t="shared" si="5"/>
        <v>50.350000000000009</v>
      </c>
      <c r="Q14" s="261" t="s">
        <v>97</v>
      </c>
      <c r="R14" s="262">
        <f>+R4-R6</f>
        <v>101576.42779999999</v>
      </c>
      <c r="S14" s="119"/>
      <c r="T14" s="119"/>
      <c r="V14" s="46"/>
      <c r="W14" s="46"/>
      <c r="X14" s="46"/>
      <c r="Y14" s="46"/>
      <c r="AD14" s="160" t="s">
        <v>213</v>
      </c>
      <c r="AE14" s="160" t="s">
        <v>214</v>
      </c>
      <c r="AF14" s="160"/>
    </row>
    <row r="15" spans="1:36" ht="15" customHeight="1">
      <c r="A15" t="s">
        <v>20</v>
      </c>
      <c r="B15" s="214">
        <f>+NOVIEMBRE!G21</f>
        <v>2753.1</v>
      </c>
      <c r="C15" s="214">
        <f>+NOVIEMBRE!F21</f>
        <v>1900</v>
      </c>
      <c r="D15" s="15">
        <f>+NOVIEMBRE!E21</f>
        <v>0</v>
      </c>
      <c r="E15" s="15">
        <f>+NOVIEMBRE!E34</f>
        <v>2</v>
      </c>
      <c r="F15" s="15">
        <f>+NOVIEMBRE!F34</f>
        <v>66.89</v>
      </c>
      <c r="G15" s="15"/>
      <c r="H15" s="15">
        <f t="shared" si="6"/>
        <v>8.0267999999999997</v>
      </c>
      <c r="I15" s="15">
        <f>+NOVIEMBRE!J21</f>
        <v>231.47020000000003</v>
      </c>
      <c r="J15" s="15" t="e">
        <f>+#REF!</f>
        <v>#REF!</v>
      </c>
      <c r="K15" s="15">
        <v>0</v>
      </c>
      <c r="L15" s="15">
        <v>0</v>
      </c>
      <c r="M15" s="15">
        <v>0</v>
      </c>
      <c r="N15" s="15">
        <f t="shared" si="4"/>
        <v>4653.1000000000004</v>
      </c>
      <c r="O15" s="15">
        <f t="shared" si="5"/>
        <v>68.89</v>
      </c>
      <c r="Q15" s="16"/>
      <c r="R15" s="123">
        <v>0</v>
      </c>
      <c r="S15" s="119"/>
      <c r="T15" s="119"/>
      <c r="V15" s="47" t="s">
        <v>58</v>
      </c>
      <c r="W15" s="46"/>
      <c r="X15" s="46"/>
      <c r="Y15" s="46"/>
      <c r="AD15" s="161" t="s">
        <v>215</v>
      </c>
      <c r="AE15" s="162">
        <v>0.6</v>
      </c>
      <c r="AF15" s="162"/>
    </row>
    <row r="16" spans="1:36" ht="15" customHeight="1">
      <c r="A16" t="s">
        <v>21</v>
      </c>
      <c r="B16" s="214">
        <f>+DICIEMBRE!F26</f>
        <v>9919.9700000000012</v>
      </c>
      <c r="C16" s="214">
        <f>+DICIEMBRE!E26</f>
        <v>250</v>
      </c>
      <c r="D16" s="15">
        <f>+DICIEMBRE!D26</f>
        <v>0</v>
      </c>
      <c r="E16" s="15">
        <f>+DICIEMBRE!D39</f>
        <v>0</v>
      </c>
      <c r="F16" s="15">
        <f>+DICIEMBRE!E39</f>
        <v>39.130000000000003</v>
      </c>
      <c r="G16" s="15"/>
      <c r="H16" s="15">
        <f t="shared" si="6"/>
        <v>4.6955999999999998</v>
      </c>
      <c r="I16" s="15">
        <f>+DICIEMBRE!I26</f>
        <v>446.02820000000003</v>
      </c>
      <c r="J16" s="15" t="e">
        <f>+#REF!</f>
        <v>#REF!</v>
      </c>
      <c r="K16" s="15">
        <v>0</v>
      </c>
      <c r="L16" s="15">
        <v>0</v>
      </c>
      <c r="M16" s="15">
        <v>0</v>
      </c>
      <c r="N16" s="15">
        <f t="shared" si="4"/>
        <v>10169.970000000001</v>
      </c>
      <c r="O16" s="15">
        <f t="shared" si="5"/>
        <v>39.130000000000003</v>
      </c>
      <c r="Q16" s="16" t="s">
        <v>98</v>
      </c>
      <c r="R16" s="122">
        <f>SUM(AC22:AC23)</f>
        <v>3500</v>
      </c>
      <c r="S16" s="119"/>
      <c r="T16" s="119"/>
      <c r="V16" s="48" t="s">
        <v>59</v>
      </c>
      <c r="W16" s="49"/>
      <c r="X16" s="50"/>
      <c r="Y16" s="51">
        <v>13234</v>
      </c>
      <c r="Z16" s="16" t="s">
        <v>60</v>
      </c>
      <c r="AD16" s="161" t="s">
        <v>216</v>
      </c>
      <c r="AE16" s="162">
        <v>0.7</v>
      </c>
      <c r="AF16" s="162"/>
    </row>
    <row r="17" spans="1:32" ht="15" customHeight="1">
      <c r="B17" s="15"/>
      <c r="C17" s="15"/>
      <c r="D17" s="15"/>
      <c r="E17" s="15"/>
      <c r="F17" s="15"/>
      <c r="G17" s="15"/>
      <c r="H17" s="15"/>
      <c r="I17" s="15"/>
      <c r="J17" s="15"/>
      <c r="N17" s="15"/>
      <c r="O17" s="15"/>
      <c r="Q17" s="16" t="s">
        <v>100</v>
      </c>
      <c r="R17" s="122">
        <f>AC25</f>
        <v>3169.25</v>
      </c>
      <c r="S17" s="119"/>
      <c r="T17" s="119"/>
      <c r="V17" s="48" t="s">
        <v>61</v>
      </c>
      <c r="W17" s="49"/>
      <c r="X17" s="50"/>
      <c r="Y17" s="51">
        <v>3308.5</v>
      </c>
      <c r="Z17" s="16" t="s">
        <v>62</v>
      </c>
      <c r="AA17" s="190">
        <v>0.53</v>
      </c>
      <c r="AD17" s="161" t="s">
        <v>217</v>
      </c>
      <c r="AE17" s="162">
        <v>0.8</v>
      </c>
      <c r="AF17" s="162"/>
    </row>
    <row r="18" spans="1:32">
      <c r="A18" s="22" t="s">
        <v>9</v>
      </c>
      <c r="B18" s="24">
        <f>SUM(B11:B17)</f>
        <v>33847.689999999995</v>
      </c>
      <c r="C18" s="24">
        <f t="shared" ref="C18:I18" si="7">SUM(C11:C17)</f>
        <v>5220</v>
      </c>
      <c r="D18" s="24" t="e">
        <f t="shared" si="7"/>
        <v>#REF!</v>
      </c>
      <c r="E18" s="24">
        <f t="shared" si="7"/>
        <v>2.6</v>
      </c>
      <c r="F18" s="24">
        <f t="shared" si="7"/>
        <v>305.37</v>
      </c>
      <c r="G18" s="24">
        <f t="shared" si="7"/>
        <v>0</v>
      </c>
      <c r="H18" s="24">
        <f t="shared" si="7"/>
        <v>36.644399999999997</v>
      </c>
      <c r="I18" s="24">
        <f t="shared" si="7"/>
        <v>2703.2808000000005</v>
      </c>
      <c r="J18" s="24" t="e">
        <f t="shared" ref="J18" si="8">SUM(J11:J17)</f>
        <v>#REF!</v>
      </c>
      <c r="K18" s="24">
        <f>SUM(K11:K16)</f>
        <v>843.6074000000001</v>
      </c>
      <c r="L18" s="24">
        <f>SUM(L11:L16)</f>
        <v>0</v>
      </c>
      <c r="M18" s="24">
        <f>SUM(M11:M17)</f>
        <v>0</v>
      </c>
      <c r="N18" s="116"/>
      <c r="O18" s="116"/>
      <c r="Q18" s="261" t="s">
        <v>101</v>
      </c>
      <c r="R18" s="262">
        <f>+R16-R17</f>
        <v>330.75</v>
      </c>
      <c r="S18" s="195" t="s">
        <v>99</v>
      </c>
      <c r="T18" s="196"/>
      <c r="V18" s="45" t="s">
        <v>63</v>
      </c>
      <c r="W18" s="45"/>
      <c r="X18" s="45"/>
      <c r="Y18" s="45">
        <f>+W3*2</f>
        <v>22630.02</v>
      </c>
      <c r="Z18" s="16" t="s">
        <v>64</v>
      </c>
      <c r="AD18" s="161" t="s">
        <v>218</v>
      </c>
      <c r="AE18" s="162">
        <v>1</v>
      </c>
      <c r="AF18" s="162"/>
    </row>
    <row r="19" spans="1:32">
      <c r="Q19" s="16" t="s">
        <v>199</v>
      </c>
      <c r="R19" s="123">
        <f>+AB19</f>
        <v>13578.012000000001</v>
      </c>
      <c r="S19" s="124"/>
      <c r="T19" s="119"/>
      <c r="V19" s="158" t="s">
        <v>65</v>
      </c>
      <c r="W19" s="158"/>
      <c r="X19" s="158"/>
      <c r="Y19" s="158">
        <f>+W3*2</f>
        <v>22630.02</v>
      </c>
      <c r="Z19" s="159" t="s">
        <v>64</v>
      </c>
      <c r="AA19" s="163">
        <f>+Y19</f>
        <v>22630.02</v>
      </c>
      <c r="AB19" s="15">
        <f>+AA19*AE15</f>
        <v>13578.012000000001</v>
      </c>
    </row>
    <row r="20" spans="1:32" ht="17.25" customHeight="1" thickBot="1">
      <c r="A20" s="35" t="s">
        <v>46</v>
      </c>
      <c r="B20" s="36">
        <f t="shared" ref="B20:M20" si="9">+B9+B18</f>
        <v>109420.95999999999</v>
      </c>
      <c r="C20" s="36">
        <f t="shared" si="9"/>
        <v>11302</v>
      </c>
      <c r="D20" s="36" t="e">
        <f t="shared" si="9"/>
        <v>#REF!</v>
      </c>
      <c r="E20" s="36">
        <f t="shared" si="9"/>
        <v>2.6</v>
      </c>
      <c r="F20" s="36">
        <f t="shared" si="9"/>
        <v>8551.9000000000015</v>
      </c>
      <c r="G20" s="36">
        <f t="shared" si="9"/>
        <v>0</v>
      </c>
      <c r="H20" s="36">
        <f t="shared" si="9"/>
        <v>1026.2279999999998</v>
      </c>
      <c r="I20" s="36">
        <f t="shared" si="9"/>
        <v>10232.168000000001</v>
      </c>
      <c r="J20" s="36" t="e">
        <f t="shared" si="9"/>
        <v>#REF!</v>
      </c>
      <c r="K20" s="36">
        <f t="shared" si="9"/>
        <v>843.6074000000001</v>
      </c>
      <c r="L20" s="36">
        <f t="shared" si="9"/>
        <v>0</v>
      </c>
      <c r="M20" s="36">
        <f t="shared" si="9"/>
        <v>0</v>
      </c>
      <c r="N20" s="117"/>
      <c r="O20" s="117"/>
      <c r="Q20" s="261" t="s">
        <v>27</v>
      </c>
      <c r="R20" s="262">
        <f>+R21+R22+R23+R24+R25</f>
        <v>7773.0599999999995</v>
      </c>
      <c r="S20" s="119"/>
      <c r="T20" s="119"/>
      <c r="V20" s="46"/>
      <c r="W20" s="46"/>
      <c r="X20" s="46"/>
      <c r="Y20" s="46"/>
      <c r="Z20" s="41"/>
    </row>
    <row r="21" spans="1:32" ht="15.75" thickBot="1">
      <c r="Q21" s="16" t="s">
        <v>28</v>
      </c>
      <c r="R21" s="125">
        <f>'GASTOS PERSONALES'!D55</f>
        <v>1357.62</v>
      </c>
      <c r="S21" s="195" t="s">
        <v>102</v>
      </c>
      <c r="T21" s="196"/>
      <c r="V21" s="408" t="s">
        <v>66</v>
      </c>
      <c r="W21" s="409"/>
      <c r="X21" s="409"/>
      <c r="Y21" s="409"/>
      <c r="Z21" s="410"/>
    </row>
    <row r="22" spans="1:32" ht="15.75" thickBot="1">
      <c r="Q22" s="16" t="s">
        <v>29</v>
      </c>
      <c r="R22" s="125">
        <f>'GASTOS PERSONALES'!I30</f>
        <v>2377.19</v>
      </c>
      <c r="S22" s="124"/>
      <c r="T22" s="119"/>
      <c r="V22" s="134"/>
      <c r="W22" s="135">
        <v>2013</v>
      </c>
      <c r="X22" s="136">
        <v>2014</v>
      </c>
      <c r="Y22" s="136">
        <v>2015</v>
      </c>
      <c r="Z22" s="252">
        <v>2017</v>
      </c>
      <c r="AB22" s="378" t="s">
        <v>456</v>
      </c>
      <c r="AC22" s="380">
        <v>2500</v>
      </c>
    </row>
    <row r="23" spans="1:32" ht="15.75" thickBot="1">
      <c r="I23" s="15"/>
      <c r="Q23" s="16" t="s">
        <v>30</v>
      </c>
      <c r="R23" s="125">
        <f>'GASTOS PERSONALES'!N24</f>
        <v>3647.51</v>
      </c>
      <c r="S23" s="124"/>
      <c r="T23" s="119"/>
      <c r="V23" s="137" t="s">
        <v>31</v>
      </c>
      <c r="W23" s="45">
        <v>3308.5</v>
      </c>
      <c r="X23" s="138">
        <v>3383.25</v>
      </c>
      <c r="Y23" s="48">
        <v>3510</v>
      </c>
      <c r="Z23" s="253">
        <v>3669.25</v>
      </c>
      <c r="AB23" s="378" t="s">
        <v>459</v>
      </c>
      <c r="AC23" s="381">
        <v>1000</v>
      </c>
    </row>
    <row r="24" spans="1:32" ht="15.75" thickBot="1">
      <c r="A24" s="1"/>
      <c r="B24" s="5"/>
      <c r="C24" s="1"/>
      <c r="D24" s="1"/>
      <c r="E24" s="1"/>
      <c r="F24" s="1"/>
      <c r="G24" s="1"/>
      <c r="H24" s="1"/>
      <c r="Q24" s="16" t="s">
        <v>31</v>
      </c>
      <c r="R24" s="125">
        <f>'GASTOS PERSONALES'!T28</f>
        <v>0</v>
      </c>
      <c r="S24" s="124"/>
      <c r="T24" s="119"/>
      <c r="V24" s="137" t="s">
        <v>67</v>
      </c>
      <c r="W24" s="45">
        <v>3308.5</v>
      </c>
      <c r="X24" s="138">
        <v>3383.25</v>
      </c>
      <c r="Y24" s="48">
        <v>3510</v>
      </c>
      <c r="Z24" s="253">
        <v>3669.25</v>
      </c>
      <c r="AB24" s="378" t="s">
        <v>457</v>
      </c>
      <c r="AC24" s="378">
        <f>SUM(AC22:AC23)*9.45%</f>
        <v>330.74999999999994</v>
      </c>
    </row>
    <row r="25" spans="1:32" ht="15.75" thickBot="1">
      <c r="A25" s="143"/>
      <c r="B25" s="17"/>
      <c r="C25" s="17"/>
      <c r="D25" s="17"/>
      <c r="E25" s="17"/>
      <c r="F25" s="17"/>
      <c r="G25" s="17"/>
      <c r="H25" s="17"/>
      <c r="I25" s="187"/>
      <c r="J25" s="17"/>
      <c r="K25" s="187"/>
      <c r="L25" s="187"/>
      <c r="M25" s="187"/>
      <c r="N25" s="17"/>
      <c r="O25" s="17"/>
      <c r="P25" s="22"/>
      <c r="Q25" s="16" t="s">
        <v>32</v>
      </c>
      <c r="R25" s="125">
        <f>'GASTOS PERSONALES'!Y28</f>
        <v>390.73999999999995</v>
      </c>
      <c r="S25" s="124"/>
      <c r="T25" s="119"/>
      <c r="V25" s="137" t="s">
        <v>68</v>
      </c>
      <c r="W25" s="45">
        <v>3308.5</v>
      </c>
      <c r="X25" s="138">
        <v>3383.25</v>
      </c>
      <c r="Y25" s="48">
        <v>3510</v>
      </c>
      <c r="Z25" s="253">
        <v>3669.25</v>
      </c>
      <c r="AB25" s="378" t="s">
        <v>458</v>
      </c>
      <c r="AC25" s="378">
        <f>SUM(AC22:AC23)-AC24</f>
        <v>3169.25</v>
      </c>
    </row>
    <row r="26" spans="1:32" ht="15.75">
      <c r="A26" s="225" t="s">
        <v>234</v>
      </c>
      <c r="B26" s="226"/>
      <c r="C26" s="227" t="s">
        <v>258</v>
      </c>
      <c r="D26" s="227"/>
      <c r="E26" s="226"/>
      <c r="F26" s="226"/>
      <c r="G26" s="228"/>
      <c r="H26" s="17"/>
      <c r="I26" s="17"/>
      <c r="J26" s="17"/>
      <c r="K26" s="187"/>
      <c r="L26" s="187"/>
      <c r="M26" s="187"/>
      <c r="N26" s="17"/>
      <c r="O26" s="17"/>
      <c r="Q26" s="261" t="s">
        <v>103</v>
      </c>
      <c r="R26" s="262">
        <f>+R14+R18-R19-R20</f>
        <v>80556.10579999999</v>
      </c>
      <c r="S26" s="124"/>
      <c r="T26" s="119"/>
      <c r="V26" s="137" t="s">
        <v>40</v>
      </c>
      <c r="W26" s="45">
        <v>3308.5</v>
      </c>
      <c r="X26" s="138">
        <v>3383.25</v>
      </c>
      <c r="Y26" s="48">
        <v>3510</v>
      </c>
      <c r="Z26" s="253">
        <v>3669.25</v>
      </c>
    </row>
    <row r="27" spans="1:32" ht="15.75" thickBot="1">
      <c r="A27" s="229"/>
      <c r="B27" s="230"/>
      <c r="C27" s="230"/>
      <c r="D27" s="230"/>
      <c r="E27" s="230"/>
      <c r="F27" s="230"/>
      <c r="G27" s="231"/>
      <c r="H27" s="30"/>
      <c r="I27" s="143"/>
      <c r="J27" s="17"/>
      <c r="K27" s="187"/>
      <c r="L27" s="187"/>
      <c r="M27" s="187"/>
      <c r="N27" s="17"/>
      <c r="O27" s="17"/>
      <c r="P27" s="1"/>
      <c r="Q27" s="16"/>
      <c r="R27" s="152"/>
      <c r="S27" s="124"/>
      <c r="T27" s="119"/>
      <c r="V27" s="139" t="s">
        <v>69</v>
      </c>
      <c r="W27" s="140">
        <v>3308.5</v>
      </c>
      <c r="X27" s="141">
        <v>3383.25</v>
      </c>
      <c r="Y27" s="48">
        <v>3510</v>
      </c>
      <c r="Z27" s="253">
        <v>3669.25</v>
      </c>
    </row>
    <row r="28" spans="1:32" ht="21.75" customHeight="1" thickBot="1">
      <c r="A28" s="247" t="s">
        <v>235</v>
      </c>
      <c r="B28" s="248" t="s">
        <v>236</v>
      </c>
      <c r="C28" s="248" t="s">
        <v>232</v>
      </c>
      <c r="D28" s="248" t="s">
        <v>237</v>
      </c>
      <c r="E28" s="249" t="s">
        <v>246</v>
      </c>
      <c r="F28" s="249" t="s">
        <v>247</v>
      </c>
      <c r="G28" s="250"/>
      <c r="H28" s="30"/>
      <c r="I28" s="143"/>
      <c r="J28" s="17"/>
      <c r="K28" s="187"/>
      <c r="L28" s="187"/>
      <c r="M28" s="187"/>
      <c r="N28" s="17"/>
      <c r="O28" s="17"/>
      <c r="P28" s="1"/>
      <c r="Q28" s="37" t="s">
        <v>152</v>
      </c>
      <c r="R28" s="281">
        <f>IF(R26&lt;=$W$3,V3,IF(R26&lt;=$W$4,V4,IF(R26&lt;=$W$5,V5,IF(R26&lt;=$W$6,V6,IF(R26&lt;=$W$7,V7,IF(R26&lt;=$W$8,V8,IF(R26&lt;=$W$9,V9,IF(R26&lt;=$W$10,V10,IF(R26&gt;V11,V11,0)))))))))</f>
        <v>64887.01</v>
      </c>
      <c r="S28" s="119"/>
      <c r="T28" s="281">
        <f>IF($R$26&lt;=$W$3,X3,IF($R$26&lt;=$W$4,X4,IF($R$26&lt;=$W$5,X5,IF($R$26&lt;=$W$6,X6,IF($R$26&lt;=$W$7,X7,IF($R$26&lt;=$W$8,X8,IF($R$26&lt;=$W$9,X9,IF($R$26&lt;=$W$10,X10,IF($R$26&gt;W10,X11,0)))))))))</f>
        <v>8518</v>
      </c>
      <c r="V28" s="142" t="s">
        <v>9</v>
      </c>
      <c r="W28" s="54">
        <v>13234</v>
      </c>
      <c r="X28" s="55">
        <v>13522</v>
      </c>
      <c r="Y28" s="54">
        <v>14040</v>
      </c>
      <c r="Z28" s="254">
        <v>14677</v>
      </c>
    </row>
    <row r="29" spans="1:32">
      <c r="A29" s="232" t="s">
        <v>259</v>
      </c>
      <c r="B29" s="213">
        <v>27771.96</v>
      </c>
      <c r="C29" s="213">
        <f>+B29*20%</f>
        <v>5554.3919999999998</v>
      </c>
      <c r="D29" s="213">
        <f>+B29*0.2</f>
        <v>5554.3919999999998</v>
      </c>
      <c r="E29" s="53" t="s">
        <v>19</v>
      </c>
      <c r="F29" s="16">
        <v>3</v>
      </c>
      <c r="G29" s="238">
        <f>+C29/12*3</f>
        <v>1388.598</v>
      </c>
      <c r="H29" s="30"/>
      <c r="I29" s="17"/>
      <c r="J29" s="17"/>
      <c r="K29" s="187"/>
      <c r="L29" s="187"/>
      <c r="M29" s="187"/>
      <c r="N29" s="17"/>
      <c r="O29" s="17"/>
      <c r="P29" s="1"/>
      <c r="Q29" s="16"/>
      <c r="R29" s="123">
        <f>+R26-R28</f>
        <v>15669.095799999988</v>
      </c>
      <c r="S29" s="282">
        <f>IF($R$26&lt;=$W$3,Y3,IF($R$26&lt;=$W$4,Y4,IF($R$26&lt;=$W$5,Y5,IF($R$26&lt;=$W$6,Y6,IF($R$26&lt;=$W$7,Y7,IF($R$26&lt;=$W$8,Y8,IF($R$26&lt;=$W$9,Y9,IF($R$26&lt;=$W$10,Y10,IF($R$26&gt;V11,Y11,0)))))))))</f>
        <v>0.25</v>
      </c>
      <c r="T29" s="191">
        <f>+R29*S29</f>
        <v>3917.2739499999971</v>
      </c>
    </row>
    <row r="30" spans="1:32">
      <c r="A30" s="233" t="s">
        <v>260</v>
      </c>
      <c r="B30" s="213">
        <f>+B29-C29</f>
        <v>22217.567999999999</v>
      </c>
      <c r="C30" s="213">
        <f>+B30*20%</f>
        <v>4443.5136000000002</v>
      </c>
      <c r="D30" s="213"/>
      <c r="E30" s="16"/>
      <c r="F30" s="16">
        <v>12</v>
      </c>
      <c r="G30" s="238">
        <f>+C30/12*F30</f>
        <v>4443.5136000000002</v>
      </c>
      <c r="H30" s="30"/>
      <c r="I30" s="17"/>
      <c r="J30" s="17"/>
      <c r="K30" s="187"/>
      <c r="L30" s="187"/>
      <c r="M30" s="187"/>
      <c r="N30" s="17"/>
      <c r="O30" s="17"/>
      <c r="P30" s="1"/>
      <c r="Q30" s="16"/>
      <c r="R30" s="123"/>
      <c r="S30" s="124"/>
      <c r="T30" s="191">
        <f>+T28+T29</f>
        <v>12435.273949999997</v>
      </c>
    </row>
    <row r="31" spans="1:32">
      <c r="A31" s="233" t="s">
        <v>345</v>
      </c>
      <c r="B31" s="213">
        <f>+B30-C30</f>
        <v>17774.054400000001</v>
      </c>
      <c r="C31" s="213">
        <f>+B31*20%</f>
        <v>3554.8108800000005</v>
      </c>
      <c r="D31" s="213"/>
      <c r="E31" s="16"/>
      <c r="F31" s="16">
        <v>12</v>
      </c>
      <c r="G31" s="238">
        <f>+C31/12*F31</f>
        <v>3554.8108800000009</v>
      </c>
      <c r="H31" s="30"/>
      <c r="I31" s="17"/>
      <c r="J31" s="17"/>
      <c r="K31" s="187"/>
      <c r="L31" s="187"/>
      <c r="M31" s="187"/>
      <c r="N31" s="17"/>
      <c r="O31" s="17"/>
      <c r="P31" s="1"/>
      <c r="Q31" s="119" t="s">
        <v>104</v>
      </c>
      <c r="R31" s="123"/>
      <c r="S31" s="124"/>
      <c r="T31" s="191">
        <f>+(-I20)</f>
        <v>-10232.168000000001</v>
      </c>
      <c r="Y31" s="52"/>
    </row>
    <row r="32" spans="1:32" ht="15.75" thickBot="1">
      <c r="A32" s="234" t="s">
        <v>46</v>
      </c>
      <c r="B32" s="235"/>
      <c r="C32" s="236">
        <f t="shared" ref="C32:D32" si="10">SUM(C29:C31)</f>
        <v>13552.716480000001</v>
      </c>
      <c r="D32" s="236">
        <f t="shared" si="10"/>
        <v>5554.3919999999998</v>
      </c>
      <c r="E32" s="237"/>
      <c r="F32" s="237"/>
      <c r="G32" s="239"/>
      <c r="H32" s="30"/>
      <c r="I32" s="17"/>
      <c r="J32" s="17"/>
      <c r="K32" s="187"/>
      <c r="L32" s="187"/>
      <c r="M32" s="187"/>
      <c r="N32" s="17"/>
      <c r="O32" s="17"/>
      <c r="P32" s="1"/>
      <c r="Q32" s="16" t="s">
        <v>245</v>
      </c>
      <c r="R32" s="123"/>
      <c r="S32" s="126"/>
      <c r="T32" s="124">
        <f>-AJ6</f>
        <v>0</v>
      </c>
    </row>
    <row r="33" spans="1:22" ht="21">
      <c r="A33" s="13"/>
      <c r="B33" s="13"/>
      <c r="C33" s="13"/>
      <c r="D33" s="13"/>
      <c r="E33" s="13"/>
      <c r="F33" s="30"/>
      <c r="G33" s="30"/>
      <c r="H33" s="30"/>
      <c r="I33" s="17"/>
      <c r="J33" s="17"/>
      <c r="K33" s="187"/>
      <c r="L33" s="187"/>
      <c r="M33" s="187"/>
      <c r="N33" s="17"/>
      <c r="O33" s="17"/>
      <c r="P33" s="1"/>
      <c r="Q33" s="263" t="s">
        <v>12</v>
      </c>
      <c r="R33" s="264"/>
      <c r="S33" s="265"/>
      <c r="T33" s="266">
        <f>SUM(T30:T32)</f>
        <v>2203.1059499999956</v>
      </c>
    </row>
    <row r="34" spans="1:22" ht="15.75" thickBot="1">
      <c r="A34" s="13"/>
      <c r="B34" s="13"/>
      <c r="C34" s="13"/>
      <c r="D34" s="13"/>
      <c r="E34" s="13"/>
      <c r="F34" s="30"/>
      <c r="G34" s="30"/>
      <c r="H34" s="30"/>
      <c r="I34" s="17"/>
      <c r="J34" s="17"/>
      <c r="K34" s="187"/>
      <c r="L34" s="187"/>
      <c r="M34" s="187"/>
      <c r="N34" s="17"/>
      <c r="O34" s="17"/>
      <c r="P34" s="1"/>
      <c r="Q34" s="41"/>
      <c r="R34" s="149"/>
      <c r="S34" s="127"/>
      <c r="T34" s="127"/>
    </row>
    <row r="35" spans="1:22" ht="16.5" thickBot="1">
      <c r="A35" s="13"/>
      <c r="B35" s="241" t="s">
        <v>239</v>
      </c>
      <c r="C35" s="242"/>
      <c r="D35" s="243"/>
      <c r="E35" s="243">
        <v>2018</v>
      </c>
      <c r="F35" s="375">
        <v>2019</v>
      </c>
      <c r="G35" s="376"/>
      <c r="H35" s="30"/>
      <c r="I35" s="143"/>
      <c r="J35" s="17"/>
      <c r="K35" s="187"/>
      <c r="L35" s="187"/>
      <c r="M35" s="187"/>
      <c r="N35" s="17"/>
      <c r="O35" s="17"/>
      <c r="P35" s="1"/>
      <c r="Q35" s="41"/>
      <c r="R35" s="149"/>
      <c r="S35" s="127"/>
      <c r="T35" s="127"/>
    </row>
    <row r="36" spans="1:22" ht="30">
      <c r="A36" s="13"/>
      <c r="B36" s="224"/>
      <c r="C36" s="224" t="s">
        <v>242</v>
      </c>
      <c r="D36" s="224"/>
      <c r="E36" s="224" t="s">
        <v>243</v>
      </c>
      <c r="F36" s="224" t="s">
        <v>243</v>
      </c>
      <c r="G36" s="30"/>
      <c r="H36" s="30"/>
      <c r="I36" s="17"/>
      <c r="J36" s="17"/>
      <c r="K36" s="187"/>
      <c r="L36" s="187"/>
      <c r="M36" s="187"/>
      <c r="N36" s="17"/>
      <c r="O36" s="17"/>
      <c r="P36" s="1"/>
      <c r="Q36" s="41"/>
      <c r="R36" s="149"/>
      <c r="S36" s="127"/>
      <c r="T36" s="127"/>
      <c r="V36" s="56"/>
    </row>
    <row r="37" spans="1:22">
      <c r="A37" s="13"/>
      <c r="B37" s="16" t="s">
        <v>240</v>
      </c>
      <c r="C37" s="27">
        <f>7652.05+97919.59+7652.05+7652.05</f>
        <v>120875.74</v>
      </c>
      <c r="D37" s="216">
        <v>0.03</v>
      </c>
      <c r="E37" s="27">
        <f>+C37*D37</f>
        <v>3626.2721999999999</v>
      </c>
      <c r="F37" s="27">
        <f>+C37*3%</f>
        <v>3626.2721999999999</v>
      </c>
      <c r="G37" s="30"/>
      <c r="H37" s="30"/>
      <c r="I37" s="17"/>
      <c r="J37" s="17"/>
      <c r="K37" s="187"/>
      <c r="L37" s="187"/>
      <c r="M37" s="187"/>
      <c r="N37" s="17"/>
      <c r="O37" s="17"/>
      <c r="P37" s="1"/>
      <c r="Q37" t="s">
        <v>219</v>
      </c>
      <c r="R37" s="148">
        <v>1711276673</v>
      </c>
      <c r="V37" s="56"/>
    </row>
    <row r="38" spans="1:22">
      <c r="A38" s="13"/>
      <c r="B38" s="19" t="s">
        <v>241</v>
      </c>
      <c r="C38" s="244">
        <v>112173.52</v>
      </c>
      <c r="D38" s="217">
        <v>0.03</v>
      </c>
      <c r="E38" s="244">
        <f>+C38*D38</f>
        <v>3365.2055999999998</v>
      </c>
      <c r="F38" s="27">
        <f>+C38*3%</f>
        <v>3365.2055999999998</v>
      </c>
      <c r="G38" s="30"/>
      <c r="H38" s="30"/>
      <c r="I38" s="17"/>
      <c r="J38" s="17"/>
      <c r="K38" s="187"/>
      <c r="L38" s="187"/>
      <c r="M38" s="187"/>
      <c r="N38" s="17"/>
      <c r="O38" s="17"/>
      <c r="P38" s="1"/>
      <c r="Q38" t="s">
        <v>220</v>
      </c>
      <c r="R38" s="148">
        <v>1722375472</v>
      </c>
      <c r="V38" s="56"/>
    </row>
    <row r="39" spans="1:22">
      <c r="A39" s="13"/>
      <c r="B39" s="19" t="s">
        <v>244</v>
      </c>
      <c r="C39" s="244">
        <f>56378.17+2391.9+7744.41</f>
        <v>66514.48</v>
      </c>
      <c r="D39" s="217">
        <v>0.03</v>
      </c>
      <c r="E39" s="244">
        <f>+C39*D39</f>
        <v>1995.4343999999999</v>
      </c>
      <c r="F39" s="27">
        <f>+C39*3%</f>
        <v>1995.4343999999999</v>
      </c>
      <c r="G39" s="30"/>
      <c r="H39" s="30"/>
      <c r="I39" s="143"/>
      <c r="J39" s="17"/>
      <c r="K39" s="187"/>
      <c r="L39" s="187"/>
      <c r="M39" s="187"/>
      <c r="N39" s="17"/>
      <c r="O39" s="17"/>
      <c r="P39" s="1"/>
      <c r="Q39" s="41" t="s">
        <v>221</v>
      </c>
      <c r="R39" s="176">
        <v>1722375456</v>
      </c>
      <c r="U39" s="22"/>
    </row>
    <row r="40" spans="1:22">
      <c r="A40" s="13"/>
      <c r="B40" s="19"/>
      <c r="C40" s="245"/>
      <c r="D40" s="213"/>
      <c r="E40" s="244"/>
      <c r="F40" s="244"/>
      <c r="G40" s="30"/>
      <c r="H40" s="30"/>
      <c r="I40" s="143"/>
      <c r="J40" s="17"/>
      <c r="K40" s="187"/>
      <c r="L40" s="187"/>
      <c r="M40" s="187"/>
      <c r="N40" s="17"/>
      <c r="O40" s="17"/>
      <c r="P40" s="1"/>
    </row>
    <row r="41" spans="1:22">
      <c r="A41" s="17"/>
      <c r="B41" s="19" t="s">
        <v>9</v>
      </c>
      <c r="C41" s="213">
        <f>SUM(C37:C40)</f>
        <v>299563.74</v>
      </c>
      <c r="D41" s="213"/>
      <c r="E41" s="244">
        <f>SUM(E37:E40)</f>
        <v>8986.9121999999988</v>
      </c>
      <c r="F41" s="244">
        <f>SUM(F37:F40)</f>
        <v>8986.9121999999988</v>
      </c>
      <c r="G41" s="17"/>
      <c r="H41" s="17"/>
      <c r="I41" s="17"/>
      <c r="J41" s="17"/>
      <c r="K41" s="187"/>
      <c r="L41" s="187"/>
      <c r="M41" s="187"/>
      <c r="N41" s="17"/>
      <c r="O41" s="17"/>
    </row>
    <row r="42" spans="1:22">
      <c r="A42" s="13"/>
      <c r="B42" s="17"/>
      <c r="C42" s="17"/>
      <c r="D42" s="17"/>
      <c r="E42" s="17"/>
      <c r="F42" s="131"/>
      <c r="G42" s="131"/>
      <c r="H42" s="131"/>
      <c r="I42" s="143"/>
      <c r="J42" s="17"/>
      <c r="K42" s="187"/>
      <c r="L42" s="187"/>
      <c r="M42" s="187"/>
      <c r="N42" s="17"/>
      <c r="O42" s="17"/>
      <c r="P42" s="13"/>
    </row>
    <row r="43" spans="1:22">
      <c r="A43" s="13"/>
      <c r="B43" s="17"/>
      <c r="C43" s="17"/>
      <c r="D43" s="17"/>
      <c r="E43" s="17"/>
      <c r="F43" s="131"/>
      <c r="G43" s="131"/>
      <c r="H43" s="131"/>
      <c r="I43" s="143"/>
      <c r="J43" s="17"/>
      <c r="K43" s="187"/>
      <c r="L43" s="187"/>
      <c r="M43" s="187"/>
      <c r="N43" s="17"/>
      <c r="O43" s="17"/>
      <c r="P43" s="13"/>
    </row>
    <row r="44" spans="1:22">
      <c r="A44" s="13"/>
      <c r="B44" s="17"/>
      <c r="C44" s="17"/>
      <c r="D44" s="17"/>
      <c r="E44" s="17"/>
      <c r="F44" s="17"/>
      <c r="G44" s="17"/>
      <c r="H44" s="17"/>
      <c r="I44" s="17"/>
      <c r="J44" s="17"/>
      <c r="K44" s="187"/>
      <c r="L44" s="187"/>
      <c r="M44" s="187"/>
      <c r="N44" s="17"/>
      <c r="O44" s="17"/>
      <c r="P44" s="13"/>
    </row>
    <row r="45" spans="1:22">
      <c r="A45" s="66"/>
      <c r="B45" s="13"/>
      <c r="C45" s="13"/>
      <c r="D45" s="13"/>
      <c r="E45" s="13"/>
      <c r="F45" s="23"/>
      <c r="G45" s="23"/>
      <c r="H45" s="23"/>
      <c r="I45" s="17"/>
      <c r="J45" s="17"/>
      <c r="K45" s="187"/>
      <c r="L45" s="187"/>
      <c r="M45" s="187"/>
      <c r="N45" s="17"/>
      <c r="O45" s="17"/>
      <c r="P45" s="2"/>
    </row>
    <row r="46" spans="1:2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87"/>
      <c r="L46" s="187"/>
      <c r="M46" s="187"/>
      <c r="N46" s="17"/>
      <c r="O46" s="17"/>
      <c r="S46" s="127"/>
      <c r="T46" s="127"/>
    </row>
    <row r="47" spans="1:22" ht="21">
      <c r="A47" s="17"/>
      <c r="B47" s="17"/>
      <c r="C47" s="17"/>
      <c r="D47" s="17"/>
      <c r="E47" s="17"/>
      <c r="F47" s="17"/>
      <c r="G47" s="17"/>
      <c r="H47" s="17"/>
      <c r="I47" s="17"/>
      <c r="J47" s="131"/>
      <c r="K47" s="187"/>
      <c r="L47" s="187"/>
      <c r="M47" s="187"/>
      <c r="N47" s="131"/>
      <c r="O47" s="131"/>
      <c r="Q47" s="128"/>
      <c r="R47" s="150"/>
      <c r="S47" s="129"/>
      <c r="T47" s="129"/>
    </row>
    <row r="48" spans="1:22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188"/>
      <c r="L48" s="188"/>
      <c r="M48" s="188"/>
      <c r="N48" s="62"/>
      <c r="O48" s="62"/>
      <c r="Q48" s="41"/>
      <c r="R48" s="151"/>
      <c r="S48" s="41"/>
      <c r="T48" s="41"/>
    </row>
    <row r="49" spans="1:34">
      <c r="A49" s="147"/>
      <c r="B49" s="62"/>
      <c r="C49" s="62"/>
      <c r="D49" s="62"/>
      <c r="E49" s="62"/>
      <c r="F49" s="62"/>
      <c r="G49" s="62"/>
      <c r="H49" s="62"/>
      <c r="I49" s="62"/>
      <c r="J49" s="62"/>
      <c r="K49" s="188"/>
      <c r="L49" s="188"/>
      <c r="M49" s="188"/>
      <c r="N49" s="62"/>
      <c r="O49" s="62"/>
    </row>
    <row r="50" spans="1:34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188"/>
      <c r="L50" s="188"/>
      <c r="M50" s="188"/>
      <c r="N50" s="62"/>
      <c r="O50" s="62"/>
    </row>
    <row r="51" spans="1:34">
      <c r="A51" s="144"/>
      <c r="B51" s="144"/>
      <c r="C51" s="145"/>
      <c r="D51" s="145"/>
      <c r="E51" s="146"/>
      <c r="F51" s="145"/>
      <c r="G51" s="145"/>
      <c r="H51" s="145"/>
      <c r="I51" s="62"/>
      <c r="J51" s="62"/>
      <c r="K51" s="188"/>
      <c r="L51" s="188"/>
      <c r="M51" s="188"/>
      <c r="N51" s="62"/>
      <c r="O51" s="62"/>
    </row>
    <row r="52" spans="1:34" s="222" customFormat="1">
      <c r="A52" s="218"/>
      <c r="B52" s="218"/>
      <c r="C52" s="219"/>
      <c r="D52" s="219"/>
      <c r="E52" s="218"/>
      <c r="F52" s="219"/>
      <c r="G52" s="219"/>
      <c r="H52" s="219"/>
      <c r="I52" s="220"/>
      <c r="J52" s="220"/>
      <c r="K52" s="221"/>
      <c r="L52" s="221"/>
      <c r="M52" s="221"/>
      <c r="N52" s="220"/>
      <c r="O52" s="220"/>
      <c r="AH52" s="223"/>
    </row>
    <row r="53" spans="1:34">
      <c r="A53" s="144"/>
      <c r="B53" s="144"/>
      <c r="C53" s="145"/>
      <c r="D53" s="145"/>
      <c r="E53" s="144"/>
      <c r="F53" s="145"/>
      <c r="G53" s="145"/>
      <c r="H53" s="145"/>
      <c r="I53" s="62"/>
      <c r="J53" s="62"/>
      <c r="K53" s="188"/>
      <c r="L53" s="188"/>
      <c r="M53" s="188"/>
      <c r="N53" s="62"/>
      <c r="O53" s="62"/>
    </row>
    <row r="54" spans="1:34">
      <c r="A54" s="144"/>
      <c r="B54" s="144"/>
      <c r="C54" s="144"/>
      <c r="D54" s="144"/>
      <c r="E54" s="144"/>
      <c r="F54" s="145"/>
      <c r="G54" s="145"/>
      <c r="H54" s="145"/>
      <c r="I54" s="62"/>
      <c r="J54" s="62"/>
      <c r="K54" s="188"/>
      <c r="L54" s="188"/>
      <c r="M54" s="188"/>
      <c r="N54" s="62"/>
      <c r="O54" s="62"/>
    </row>
    <row r="55" spans="1:34">
      <c r="A55" s="144"/>
      <c r="B55" s="144"/>
      <c r="C55" s="144"/>
      <c r="D55" s="144"/>
      <c r="E55" s="144"/>
      <c r="F55" s="145"/>
      <c r="G55" s="145"/>
      <c r="H55" s="145"/>
      <c r="I55" s="62"/>
      <c r="J55" s="62"/>
      <c r="K55" s="188"/>
      <c r="L55" s="188"/>
      <c r="M55" s="188"/>
      <c r="N55" s="62"/>
      <c r="O55" s="62"/>
    </row>
    <row r="56" spans="1:34">
      <c r="A56" s="144"/>
      <c r="B56" s="144"/>
      <c r="C56" s="144"/>
      <c r="D56" s="144"/>
      <c r="E56" s="144"/>
      <c r="F56" s="145"/>
      <c r="G56" s="145"/>
      <c r="H56" s="145"/>
      <c r="I56" s="147"/>
      <c r="J56" s="62"/>
      <c r="K56" s="188"/>
      <c r="L56" s="188"/>
      <c r="M56" s="188"/>
      <c r="N56" s="62"/>
      <c r="O56" s="62"/>
      <c r="U56" s="41"/>
      <c r="V56" s="41"/>
      <c r="W56" s="41"/>
    </row>
    <row r="57" spans="1:34">
      <c r="A57" s="144"/>
      <c r="B57" s="144"/>
      <c r="C57" s="144"/>
      <c r="D57" s="144"/>
      <c r="E57" s="144"/>
      <c r="F57" s="145"/>
      <c r="G57" s="145"/>
      <c r="H57" s="145"/>
      <c r="I57" s="147"/>
      <c r="J57" s="62"/>
      <c r="K57" s="188"/>
      <c r="L57" s="188"/>
      <c r="M57" s="188"/>
      <c r="N57" s="62"/>
      <c r="O57" s="62"/>
      <c r="Q57" s="211"/>
      <c r="R57" s="212"/>
      <c r="S57" s="211"/>
      <c r="T57" s="210"/>
      <c r="U57" s="41"/>
      <c r="V57" s="41"/>
      <c r="W57" s="41"/>
    </row>
    <row r="58" spans="1:34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188"/>
      <c r="L58" s="188"/>
      <c r="M58" s="188"/>
      <c r="N58" s="62"/>
      <c r="O58" s="62"/>
      <c r="Q58" s="211"/>
      <c r="R58" s="212"/>
      <c r="S58" s="211"/>
      <c r="T58" s="210"/>
      <c r="U58" s="41"/>
      <c r="V58" s="41"/>
      <c r="W58" s="41"/>
    </row>
    <row r="59" spans="1:34">
      <c r="A59" s="144"/>
      <c r="B59" s="62"/>
      <c r="C59" s="62"/>
      <c r="D59" s="62"/>
      <c r="E59" s="62"/>
      <c r="F59" s="64"/>
      <c r="G59" s="64"/>
      <c r="H59" s="64"/>
      <c r="I59" s="62"/>
      <c r="J59" s="62"/>
      <c r="K59" s="188"/>
      <c r="L59" s="188"/>
      <c r="M59" s="188"/>
      <c r="N59" s="62"/>
      <c r="O59" s="62"/>
      <c r="U59" s="41"/>
      <c r="V59" s="41"/>
      <c r="W59" s="41"/>
    </row>
    <row r="60" spans="1:34" s="222" customFormat="1">
      <c r="A60" s="218"/>
      <c r="B60" s="220"/>
      <c r="C60" s="220"/>
      <c r="D60" s="220"/>
      <c r="E60" s="220"/>
      <c r="F60" s="240"/>
      <c r="G60" s="240"/>
      <c r="H60" s="240"/>
      <c r="I60" s="220"/>
      <c r="J60" s="220"/>
      <c r="K60" s="221"/>
      <c r="L60" s="221"/>
      <c r="M60" s="221"/>
      <c r="N60" s="220"/>
      <c r="O60" s="220"/>
      <c r="U60" s="251"/>
      <c r="V60" s="251"/>
      <c r="W60" s="251"/>
      <c r="AH60" s="223"/>
    </row>
    <row r="61" spans="1:34">
      <c r="A61" s="144"/>
      <c r="B61" s="62"/>
      <c r="C61" s="62"/>
      <c r="D61" s="62"/>
      <c r="E61" s="62"/>
      <c r="F61" s="62"/>
      <c r="G61" s="62"/>
      <c r="H61" s="62"/>
      <c r="I61" s="62"/>
      <c r="J61" s="62"/>
      <c r="K61" s="188"/>
      <c r="L61" s="188"/>
      <c r="M61" s="188"/>
      <c r="N61" s="62"/>
      <c r="O61" s="62"/>
      <c r="U61" s="62"/>
      <c r="V61" s="62"/>
      <c r="W61" s="41"/>
    </row>
    <row r="62" spans="1:34">
      <c r="A62" s="246"/>
      <c r="B62" s="144"/>
      <c r="C62" s="144"/>
      <c r="D62" s="144"/>
      <c r="E62" s="144"/>
      <c r="F62" s="43"/>
      <c r="G62" s="43"/>
      <c r="H62" s="43"/>
      <c r="I62" s="62"/>
      <c r="J62" s="62"/>
      <c r="K62" s="188"/>
      <c r="L62" s="188"/>
      <c r="M62" s="188"/>
      <c r="N62" s="62"/>
      <c r="O62" s="62"/>
      <c r="U62" s="41"/>
      <c r="V62" s="41"/>
      <c r="W62" s="41"/>
    </row>
    <row r="63" spans="1:34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188"/>
      <c r="L63" s="188"/>
      <c r="M63" s="188"/>
      <c r="N63" s="62"/>
      <c r="O63" s="62"/>
      <c r="U63" s="41"/>
      <c r="V63" s="41"/>
      <c r="W63" s="41"/>
    </row>
    <row r="64" spans="1:34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187"/>
      <c r="L64" s="187"/>
      <c r="M64" s="187"/>
      <c r="N64" s="17"/>
      <c r="O64" s="17"/>
      <c r="U64" s="41"/>
      <c r="V64" s="41"/>
      <c r="W64" s="41"/>
    </row>
    <row r="65" spans="21:23">
      <c r="U65" s="41"/>
      <c r="V65" s="41"/>
      <c r="W65" s="41"/>
    </row>
    <row r="66" spans="21:23">
      <c r="U66" s="41"/>
      <c r="V66" s="41"/>
      <c r="W66" s="41"/>
    </row>
  </sheetData>
  <sheetProtection sheet="1" objects="1" scenarios="1" formatCells="0" formatColumns="0" formatRows="0"/>
  <mergeCells count="3">
    <mergeCell ref="V1:Y1"/>
    <mergeCell ref="AC2:AI2"/>
    <mergeCell ref="V21:Z21"/>
  </mergeCells>
  <pageMargins left="0.19685039370078741" right="0.19685039370078741" top="0.74803149606299213" bottom="0.74803149606299213" header="0.31496062992125984" footer="0.31496062992125984"/>
  <pageSetup paperSize="9" scale="6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7" tint="0.39997558519241921"/>
    <pageSetUpPr fitToPage="1"/>
  </sheetPr>
  <dimension ref="A1:J67"/>
  <sheetViews>
    <sheetView topLeftCell="A4" zoomScale="89" zoomScaleNormal="89" workbookViewId="0">
      <selection activeCell="H26" sqref="H26"/>
    </sheetView>
  </sheetViews>
  <sheetFormatPr baseColWidth="10" defaultRowHeight="15"/>
  <cols>
    <col min="1" max="1" width="17.7109375" customWidth="1"/>
    <col min="2" max="2" width="16.140625" style="52" customWidth="1"/>
    <col min="3" max="3" width="32.140625" customWidth="1"/>
    <col min="4" max="4" width="12.5703125" bestFit="1" customWidth="1"/>
    <col min="10" max="10" width="14" customWidth="1"/>
  </cols>
  <sheetData>
    <row r="1" spans="1:10">
      <c r="A1" s="2"/>
      <c r="B1" s="181"/>
      <c r="C1" s="1"/>
      <c r="D1" s="1"/>
      <c r="E1" s="4"/>
      <c r="F1" s="4"/>
      <c r="G1" s="4"/>
      <c r="H1" s="4"/>
      <c r="I1" s="4"/>
    </row>
    <row r="2" spans="1:10" ht="15.75" thickBot="1">
      <c r="A2" s="2" t="s">
        <v>71</v>
      </c>
      <c r="B2" s="181"/>
      <c r="C2" s="1"/>
      <c r="D2" s="1"/>
      <c r="E2" s="4"/>
      <c r="F2" s="4"/>
      <c r="G2" s="4"/>
      <c r="H2" s="4"/>
      <c r="I2" s="4"/>
    </row>
    <row r="3" spans="1:10" ht="15.75" thickBot="1">
      <c r="A3" s="270" t="s">
        <v>263</v>
      </c>
      <c r="B3" s="257"/>
      <c r="C3" s="1"/>
      <c r="D3" s="1"/>
      <c r="E3" s="1"/>
      <c r="F3" s="1"/>
      <c r="G3" s="1"/>
      <c r="H3" s="1"/>
      <c r="I3" s="1"/>
    </row>
    <row r="4" spans="1:10">
      <c r="A4" s="6"/>
      <c r="B4" s="181"/>
      <c r="C4" s="1"/>
      <c r="D4" s="1"/>
      <c r="E4" s="1"/>
      <c r="F4" s="1"/>
      <c r="G4" s="1"/>
      <c r="H4" s="1"/>
      <c r="I4" s="1"/>
    </row>
    <row r="5" spans="1:10">
      <c r="A5" s="2" t="s">
        <v>0</v>
      </c>
      <c r="B5" s="181"/>
      <c r="C5" s="1"/>
      <c r="D5" s="1"/>
      <c r="E5" s="1"/>
      <c r="F5" s="1"/>
      <c r="G5" s="1"/>
      <c r="H5" s="1"/>
      <c r="I5" s="1"/>
    </row>
    <row r="6" spans="1:10" ht="9" customHeight="1" thickBot="1">
      <c r="A6" s="1"/>
      <c r="B6" s="12"/>
      <c r="C6" s="3"/>
      <c r="D6" s="3"/>
      <c r="E6" s="12"/>
      <c r="F6" s="12"/>
      <c r="G6" s="12"/>
      <c r="H6" s="12"/>
      <c r="I6" s="12"/>
    </row>
    <row r="7" spans="1:10" ht="29.25" customHeight="1" thickTop="1" thickBot="1">
      <c r="A7" s="1" t="s">
        <v>1</v>
      </c>
      <c r="B7" s="38" t="s">
        <v>2</v>
      </c>
      <c r="C7" s="38" t="s">
        <v>3</v>
      </c>
      <c r="D7" s="38" t="s">
        <v>54</v>
      </c>
      <c r="E7" s="38" t="s">
        <v>52</v>
      </c>
      <c r="F7" s="38" t="s">
        <v>49</v>
      </c>
      <c r="G7" s="38" t="s">
        <v>4</v>
      </c>
      <c r="H7" s="38" t="s">
        <v>9</v>
      </c>
      <c r="I7" s="38" t="s">
        <v>50</v>
      </c>
      <c r="J7" s="38" t="s">
        <v>51</v>
      </c>
    </row>
    <row r="8" spans="1:10" ht="15.75" thickTop="1">
      <c r="A8" s="1"/>
      <c r="B8" s="181">
        <v>1270</v>
      </c>
      <c r="C8" s="1" t="s">
        <v>252</v>
      </c>
      <c r="D8" s="11"/>
      <c r="E8" s="72"/>
      <c r="F8" s="72">
        <v>1320</v>
      </c>
      <c r="G8" s="72">
        <f>+F8*0.12</f>
        <v>158.4</v>
      </c>
      <c r="H8" s="72">
        <f>+D8+E8+F8+G8</f>
        <v>1478.4</v>
      </c>
      <c r="I8" s="72">
        <f>+F8*0.1</f>
        <v>132</v>
      </c>
      <c r="J8" s="72">
        <f>+G8*100%</f>
        <v>158.4</v>
      </c>
    </row>
    <row r="9" spans="1:10">
      <c r="A9" s="1"/>
      <c r="B9" s="181">
        <v>1271</v>
      </c>
      <c r="C9" s="1" t="s">
        <v>278</v>
      </c>
      <c r="D9" s="1"/>
      <c r="E9" s="72"/>
      <c r="F9" s="72">
        <v>354.44</v>
      </c>
      <c r="G9" s="72">
        <f t="shared" ref="G9:G28" si="0">+F9*0.12</f>
        <v>42.532799999999995</v>
      </c>
      <c r="H9" s="72">
        <f t="shared" ref="H9:H11" si="1">+D9+E9+F9+G9</f>
        <v>396.97280000000001</v>
      </c>
      <c r="I9" s="72">
        <f>+F9*0.1</f>
        <v>35.444000000000003</v>
      </c>
      <c r="J9" s="72">
        <f>+G9*100%</f>
        <v>42.532799999999995</v>
      </c>
    </row>
    <row r="10" spans="1:10">
      <c r="A10" s="1"/>
      <c r="B10" s="181">
        <v>1272</v>
      </c>
      <c r="C10" s="1" t="s">
        <v>250</v>
      </c>
      <c r="D10" s="1"/>
      <c r="E10" s="72"/>
      <c r="F10" s="72">
        <v>491.99</v>
      </c>
      <c r="G10" s="72">
        <f t="shared" si="0"/>
        <v>59.038800000000002</v>
      </c>
      <c r="H10" s="72">
        <f t="shared" si="1"/>
        <v>551.02880000000005</v>
      </c>
      <c r="I10" s="72">
        <f>+F10*8%</f>
        <v>39.359200000000001</v>
      </c>
      <c r="J10" s="72">
        <f>+G10*100%</f>
        <v>59.038800000000002</v>
      </c>
    </row>
    <row r="11" spans="1:10">
      <c r="A11" s="1"/>
      <c r="B11" s="181">
        <v>1273</v>
      </c>
      <c r="C11" s="1" t="s">
        <v>248</v>
      </c>
      <c r="D11" s="1"/>
      <c r="E11" s="72"/>
      <c r="F11" s="72">
        <v>200</v>
      </c>
      <c r="G11" s="72">
        <f t="shared" si="0"/>
        <v>24</v>
      </c>
      <c r="H11" s="72">
        <f t="shared" si="1"/>
        <v>224</v>
      </c>
      <c r="I11" s="72">
        <v>0</v>
      </c>
      <c r="J11" s="72">
        <v>0</v>
      </c>
    </row>
    <row r="12" spans="1:10">
      <c r="A12" s="1"/>
      <c r="B12" s="181">
        <v>1274</v>
      </c>
      <c r="C12" s="1" t="s">
        <v>279</v>
      </c>
      <c r="D12" s="1"/>
      <c r="E12" s="72"/>
      <c r="F12" s="72">
        <v>100</v>
      </c>
      <c r="G12" s="72">
        <f t="shared" si="0"/>
        <v>12</v>
      </c>
      <c r="H12" s="72">
        <f>+D12+E12+F12+G12</f>
        <v>112</v>
      </c>
      <c r="I12" s="72">
        <v>0</v>
      </c>
      <c r="J12" s="72">
        <v>0</v>
      </c>
    </row>
    <row r="13" spans="1:10">
      <c r="A13" s="1"/>
      <c r="B13" s="181">
        <v>1275</v>
      </c>
      <c r="C13" s="1" t="s">
        <v>253</v>
      </c>
      <c r="D13" s="1"/>
      <c r="E13" s="72"/>
      <c r="F13" s="72"/>
      <c r="G13" s="72">
        <f t="shared" si="0"/>
        <v>0</v>
      </c>
      <c r="H13" s="72">
        <f t="shared" ref="H13:H18" si="2">+D13+E13+F13+G13</f>
        <v>0</v>
      </c>
      <c r="I13" s="72">
        <f t="shared" ref="I13:I14" si="3">+F13*10%</f>
        <v>0</v>
      </c>
      <c r="J13" s="72">
        <f t="shared" ref="J13:J14" si="4">+G13*100%</f>
        <v>0</v>
      </c>
    </row>
    <row r="14" spans="1:10">
      <c r="A14" s="1"/>
      <c r="B14" s="181">
        <v>1276</v>
      </c>
      <c r="C14" s="1" t="s">
        <v>280</v>
      </c>
      <c r="D14" s="1"/>
      <c r="E14" s="72">
        <v>266</v>
      </c>
      <c r="F14" s="72"/>
      <c r="G14" s="72">
        <f t="shared" si="0"/>
        <v>0</v>
      </c>
      <c r="H14" s="72">
        <f t="shared" si="2"/>
        <v>266</v>
      </c>
      <c r="I14" s="72">
        <f t="shared" si="3"/>
        <v>0</v>
      </c>
      <c r="J14" s="72">
        <f t="shared" si="4"/>
        <v>0</v>
      </c>
    </row>
    <row r="15" spans="1:10">
      <c r="A15" s="1"/>
      <c r="B15" s="181">
        <v>1277</v>
      </c>
      <c r="C15" s="1" t="s">
        <v>257</v>
      </c>
      <c r="D15" s="1"/>
      <c r="E15" s="72">
        <v>550</v>
      </c>
      <c r="F15" s="72"/>
      <c r="G15" s="72">
        <f t="shared" si="0"/>
        <v>0</v>
      </c>
      <c r="H15" s="72">
        <f t="shared" si="2"/>
        <v>550</v>
      </c>
      <c r="I15" s="72">
        <v>0</v>
      </c>
      <c r="J15" s="72">
        <v>0</v>
      </c>
    </row>
    <row r="16" spans="1:10">
      <c r="A16" s="1"/>
      <c r="B16" s="181">
        <v>1278</v>
      </c>
      <c r="C16" s="1" t="s">
        <v>256</v>
      </c>
      <c r="D16" s="1"/>
      <c r="E16" s="72">
        <v>420</v>
      </c>
      <c r="F16" s="72"/>
      <c r="G16" s="72">
        <f t="shared" si="0"/>
        <v>0</v>
      </c>
      <c r="H16" s="72">
        <f t="shared" si="2"/>
        <v>420</v>
      </c>
      <c r="I16" s="72">
        <v>0</v>
      </c>
      <c r="J16" s="72">
        <v>0</v>
      </c>
    </row>
    <row r="17" spans="1:10">
      <c r="A17" s="1"/>
      <c r="B17" s="181">
        <v>1279</v>
      </c>
      <c r="C17" s="1" t="s">
        <v>253</v>
      </c>
      <c r="D17" s="1"/>
      <c r="E17" s="72"/>
      <c r="F17" s="72"/>
      <c r="G17" s="72">
        <f t="shared" si="0"/>
        <v>0</v>
      </c>
      <c r="H17" s="72">
        <f t="shared" si="2"/>
        <v>0</v>
      </c>
      <c r="I17" s="72">
        <v>0</v>
      </c>
      <c r="J17" s="72">
        <v>0</v>
      </c>
    </row>
    <row r="18" spans="1:10">
      <c r="A18" s="1"/>
      <c r="B18" s="181">
        <v>1280</v>
      </c>
      <c r="C18" s="1" t="s">
        <v>253</v>
      </c>
      <c r="D18" s="1"/>
      <c r="E18" s="72"/>
      <c r="F18" s="72"/>
      <c r="G18" s="72">
        <f t="shared" si="0"/>
        <v>0</v>
      </c>
      <c r="H18" s="72">
        <f t="shared" si="2"/>
        <v>0</v>
      </c>
      <c r="I18" s="72">
        <v>0</v>
      </c>
      <c r="J18" s="72">
        <v>0</v>
      </c>
    </row>
    <row r="19" spans="1:10">
      <c r="A19" s="1"/>
      <c r="B19" s="181">
        <v>1281</v>
      </c>
      <c r="C19" s="1" t="s">
        <v>253</v>
      </c>
      <c r="D19" s="1"/>
      <c r="E19" s="72"/>
      <c r="F19" s="72"/>
      <c r="G19" s="72">
        <f t="shared" si="0"/>
        <v>0</v>
      </c>
      <c r="H19" s="72">
        <f t="shared" ref="H19:H22" si="5">+F19+G19</f>
        <v>0</v>
      </c>
      <c r="I19" s="72">
        <f t="shared" ref="I19" si="6">+F19*10%</f>
        <v>0</v>
      </c>
      <c r="J19" s="72">
        <f t="shared" ref="J19" si="7">+G19*100%</f>
        <v>0</v>
      </c>
    </row>
    <row r="20" spans="1:10">
      <c r="A20" s="1"/>
      <c r="B20" s="181">
        <v>1282</v>
      </c>
      <c r="C20" s="1" t="s">
        <v>281</v>
      </c>
      <c r="D20" s="1"/>
      <c r="E20" s="72"/>
      <c r="F20" s="72">
        <v>1444.44</v>
      </c>
      <c r="G20" s="72">
        <f t="shared" si="0"/>
        <v>173.33279999999999</v>
      </c>
      <c r="H20" s="72">
        <f t="shared" si="5"/>
        <v>1617.7728</v>
      </c>
      <c r="I20" s="72">
        <f>+F20*10%</f>
        <v>144.44400000000002</v>
      </c>
      <c r="J20" s="72">
        <f>+G20*100%</f>
        <v>173.33279999999999</v>
      </c>
    </row>
    <row r="21" spans="1:10">
      <c r="A21" s="1"/>
      <c r="B21" s="181">
        <v>1283</v>
      </c>
      <c r="C21" s="1" t="s">
        <v>253</v>
      </c>
      <c r="D21" s="1"/>
      <c r="E21" s="72"/>
      <c r="F21" s="72">
        <v>0</v>
      </c>
      <c r="G21" s="72">
        <f t="shared" si="0"/>
        <v>0</v>
      </c>
      <c r="H21" s="72">
        <f t="shared" si="5"/>
        <v>0</v>
      </c>
      <c r="I21" s="72">
        <v>0</v>
      </c>
      <c r="J21" s="72">
        <v>0</v>
      </c>
    </row>
    <row r="22" spans="1:10">
      <c r="A22" s="1"/>
      <c r="B22" s="181">
        <v>1284</v>
      </c>
      <c r="C22" s="1" t="s">
        <v>281</v>
      </c>
      <c r="D22" s="1"/>
      <c r="E22" s="72"/>
      <c r="F22" s="72">
        <v>1444.44</v>
      </c>
      <c r="G22" s="72">
        <f t="shared" si="0"/>
        <v>173.33279999999999</v>
      </c>
      <c r="H22" s="72">
        <f t="shared" si="5"/>
        <v>1617.7728</v>
      </c>
      <c r="I22" s="72">
        <f>+F22*10%</f>
        <v>144.44400000000002</v>
      </c>
      <c r="J22" s="72">
        <f>+G22*100%</f>
        <v>173.33279999999999</v>
      </c>
    </row>
    <row r="23" spans="1:10">
      <c r="A23" s="1"/>
      <c r="B23" s="181">
        <v>1285</v>
      </c>
      <c r="C23" s="1" t="s">
        <v>229</v>
      </c>
      <c r="D23" s="1"/>
      <c r="E23" s="72"/>
      <c r="F23" s="72">
        <v>555.55999999999995</v>
      </c>
      <c r="G23" s="72">
        <f t="shared" si="0"/>
        <v>66.667199999999994</v>
      </c>
      <c r="H23" s="72">
        <f>+F23+G23</f>
        <v>622.22719999999993</v>
      </c>
      <c r="I23" s="72">
        <f>+F23*10%</f>
        <v>55.555999999999997</v>
      </c>
      <c r="J23" s="72">
        <f t="shared" ref="J23:J28" si="8">+G23*100%</f>
        <v>66.667199999999994</v>
      </c>
    </row>
    <row r="24" spans="1:10">
      <c r="A24" s="1"/>
      <c r="B24" s="181"/>
      <c r="C24" s="1"/>
      <c r="D24" s="1"/>
      <c r="E24" s="72"/>
      <c r="F24" s="72"/>
      <c r="G24" s="72">
        <f t="shared" si="0"/>
        <v>0</v>
      </c>
      <c r="H24" s="72">
        <f>+F24+G24</f>
        <v>0</v>
      </c>
      <c r="I24" s="72">
        <f>+F24*10%</f>
        <v>0</v>
      </c>
      <c r="J24" s="72">
        <f t="shared" si="8"/>
        <v>0</v>
      </c>
    </row>
    <row r="25" spans="1:10">
      <c r="A25" s="1"/>
      <c r="B25" s="181"/>
      <c r="C25" s="1"/>
      <c r="D25" s="1"/>
      <c r="E25" s="72"/>
      <c r="F25" s="72">
        <v>50</v>
      </c>
      <c r="G25" s="72">
        <f t="shared" si="0"/>
        <v>6</v>
      </c>
      <c r="H25" s="72">
        <f t="shared" ref="H25:H28" si="9">+F25+G25</f>
        <v>56</v>
      </c>
      <c r="I25" s="72">
        <f t="shared" ref="I25:I28" si="10">+F25*10%</f>
        <v>5</v>
      </c>
      <c r="J25" s="72">
        <f t="shared" si="8"/>
        <v>6</v>
      </c>
    </row>
    <row r="26" spans="1:10">
      <c r="A26" s="1"/>
      <c r="B26" s="181"/>
      <c r="C26" s="1"/>
      <c r="D26" s="1"/>
      <c r="E26" s="72"/>
      <c r="F26" s="72">
        <v>500</v>
      </c>
      <c r="G26" s="72">
        <f t="shared" si="0"/>
        <v>60</v>
      </c>
      <c r="H26" s="72">
        <f t="shared" si="9"/>
        <v>560</v>
      </c>
      <c r="I26" s="72">
        <f t="shared" si="10"/>
        <v>50</v>
      </c>
      <c r="J26" s="72">
        <f t="shared" si="8"/>
        <v>60</v>
      </c>
    </row>
    <row r="27" spans="1:10">
      <c r="A27" s="1"/>
      <c r="B27" s="181"/>
      <c r="C27" s="1"/>
      <c r="D27" s="1"/>
      <c r="E27" s="72"/>
      <c r="F27" s="72">
        <v>50</v>
      </c>
      <c r="G27" s="72">
        <f t="shared" si="0"/>
        <v>6</v>
      </c>
      <c r="H27" s="72">
        <f t="shared" si="9"/>
        <v>56</v>
      </c>
      <c r="I27" s="72">
        <f t="shared" si="10"/>
        <v>5</v>
      </c>
      <c r="J27" s="72">
        <f t="shared" si="8"/>
        <v>6</v>
      </c>
    </row>
    <row r="28" spans="1:10">
      <c r="A28" s="1"/>
      <c r="B28" s="181"/>
      <c r="C28" s="1"/>
      <c r="D28" s="1"/>
      <c r="E28" s="11"/>
      <c r="F28" s="288">
        <v>50</v>
      </c>
      <c r="G28" s="72">
        <f t="shared" si="0"/>
        <v>6</v>
      </c>
      <c r="H28" s="72">
        <f t="shared" si="9"/>
        <v>56</v>
      </c>
      <c r="I28" s="72">
        <f t="shared" si="10"/>
        <v>5</v>
      </c>
      <c r="J28" s="72">
        <f t="shared" si="8"/>
        <v>6</v>
      </c>
    </row>
    <row r="29" spans="1:10" ht="15.75" thickBot="1">
      <c r="A29" s="2"/>
      <c r="B29" s="182"/>
      <c r="C29" s="2"/>
      <c r="D29" s="8">
        <f>SUM(D8:D28)</f>
        <v>0</v>
      </c>
      <c r="E29" s="272">
        <f>SUM(E8:E28)</f>
        <v>1236</v>
      </c>
      <c r="F29" s="272">
        <f>SUM(F8:F28)</f>
        <v>6560.8700000000008</v>
      </c>
      <c r="G29" s="272">
        <f>SUM(G8:G28)</f>
        <v>787.30439999999999</v>
      </c>
      <c r="H29" s="272">
        <f>SUM(H8:H28)</f>
        <v>8584.1743999999999</v>
      </c>
      <c r="I29" s="272">
        <f>SUM(I8:I28)</f>
        <v>616.24720000000002</v>
      </c>
      <c r="J29" s="272">
        <f>SUM(J8:J28)</f>
        <v>751.30439999999999</v>
      </c>
    </row>
    <row r="30" spans="1:10">
      <c r="A30" s="1"/>
      <c r="B30" s="181"/>
      <c r="C30" s="1"/>
      <c r="D30" s="1"/>
      <c r="E30" s="4"/>
      <c r="F30" s="4"/>
      <c r="G30" s="1"/>
      <c r="H30" s="1"/>
      <c r="I30" s="1"/>
    </row>
    <row r="31" spans="1:10">
      <c r="A31" s="2" t="s">
        <v>6</v>
      </c>
      <c r="B31" s="181"/>
      <c r="C31" s="1"/>
      <c r="D31" s="1"/>
      <c r="E31" s="1"/>
      <c r="F31" s="1"/>
      <c r="G31" s="1"/>
      <c r="H31" s="1"/>
      <c r="I31" s="3"/>
    </row>
    <row r="32" spans="1:10" ht="15.75" thickBot="1">
      <c r="A32" s="1"/>
      <c r="B32" s="12"/>
      <c r="C32" s="3"/>
      <c r="D32" s="3"/>
      <c r="E32" s="3"/>
      <c r="F32" s="3"/>
      <c r="G32" s="3"/>
      <c r="H32" s="3"/>
      <c r="I32" s="4"/>
    </row>
    <row r="33" spans="1:9" ht="24" customHeight="1" thickTop="1" thickBot="1">
      <c r="A33" s="1" t="s">
        <v>1</v>
      </c>
      <c r="B33" s="38" t="s">
        <v>2</v>
      </c>
      <c r="C33" s="38" t="s">
        <v>3</v>
      </c>
      <c r="D33" s="38" t="s">
        <v>7</v>
      </c>
      <c r="E33" s="38" t="s">
        <v>8</v>
      </c>
      <c r="F33" s="38" t="s">
        <v>4</v>
      </c>
      <c r="G33" s="38" t="s">
        <v>5</v>
      </c>
      <c r="I33" s="4"/>
    </row>
    <row r="34" spans="1:9" ht="15.75" thickTop="1">
      <c r="A34" s="183"/>
      <c r="B34" s="181">
        <v>53238405</v>
      </c>
      <c r="C34" s="67" t="s">
        <v>249</v>
      </c>
      <c r="D34" s="30"/>
      <c r="E34" s="273">
        <v>10</v>
      </c>
      <c r="F34" s="72">
        <f>+E34*0.12</f>
        <v>1.2</v>
      </c>
      <c r="G34" s="72">
        <f>+D34+E34+F34</f>
        <v>11.2</v>
      </c>
    </row>
    <row r="35" spans="1:9">
      <c r="A35" s="183"/>
      <c r="B35" s="181">
        <v>44644</v>
      </c>
      <c r="C35" s="1" t="s">
        <v>282</v>
      </c>
      <c r="D35" s="30"/>
      <c r="E35" s="72">
        <v>74.88</v>
      </c>
      <c r="F35" s="72">
        <f t="shared" ref="F35:F39" si="11">+E35*0.12</f>
        <v>8.9855999999999998</v>
      </c>
      <c r="G35" s="72">
        <f t="shared" ref="G35:G39" si="12">+D35+E35+F35</f>
        <v>83.865600000000001</v>
      </c>
    </row>
    <row r="36" spans="1:9">
      <c r="A36" s="183"/>
      <c r="B36" s="181">
        <v>383533</v>
      </c>
      <c r="C36" s="1" t="s">
        <v>283</v>
      </c>
      <c r="D36" s="30"/>
      <c r="E36" s="72">
        <v>14.73</v>
      </c>
      <c r="F36" s="72">
        <f t="shared" si="11"/>
        <v>1.7676000000000001</v>
      </c>
      <c r="G36" s="72">
        <f t="shared" si="12"/>
        <v>16.497600000000002</v>
      </c>
    </row>
    <row r="37" spans="1:9">
      <c r="A37" s="183"/>
      <c r="B37" s="181"/>
      <c r="C37" s="1"/>
      <c r="D37" s="30"/>
      <c r="E37" s="72"/>
      <c r="F37" s="72">
        <f t="shared" si="11"/>
        <v>0</v>
      </c>
      <c r="G37" s="72">
        <f t="shared" si="12"/>
        <v>0</v>
      </c>
    </row>
    <row r="38" spans="1:9">
      <c r="A38" s="183"/>
      <c r="B38" s="181"/>
      <c r="C38" s="1"/>
      <c r="D38" s="30"/>
      <c r="E38" s="72"/>
      <c r="F38" s="72">
        <f t="shared" si="11"/>
        <v>0</v>
      </c>
      <c r="G38" s="72">
        <f t="shared" si="12"/>
        <v>0</v>
      </c>
    </row>
    <row r="39" spans="1:9">
      <c r="A39" s="183"/>
      <c r="B39" s="181"/>
      <c r="C39" s="1"/>
      <c r="D39" s="30"/>
      <c r="E39" s="72"/>
      <c r="F39" s="72">
        <f t="shared" si="11"/>
        <v>0</v>
      </c>
      <c r="G39" s="72">
        <f t="shared" si="12"/>
        <v>0</v>
      </c>
    </row>
    <row r="40" spans="1:9" ht="15.75" thickBot="1">
      <c r="A40" s="2"/>
      <c r="B40" s="182"/>
      <c r="C40" s="2"/>
      <c r="D40" s="8">
        <f>SUM(D34:D39)</f>
        <v>0</v>
      </c>
      <c r="E40" s="272">
        <f>SUM(E34:E39)</f>
        <v>99.61</v>
      </c>
      <c r="F40" s="272">
        <f>SUM(F34:F39)</f>
        <v>11.953199999999999</v>
      </c>
      <c r="G40" s="272">
        <f>SUM(G34:G39)</f>
        <v>111.56320000000001</v>
      </c>
    </row>
    <row r="41" spans="1:9">
      <c r="A41" s="2"/>
      <c r="B41" s="182"/>
      <c r="C41" s="2"/>
      <c r="D41" s="2"/>
      <c r="E41" s="10"/>
      <c r="F41" s="10"/>
      <c r="G41" s="10"/>
      <c r="H41" s="10"/>
      <c r="I41" s="10"/>
    </row>
    <row r="42" spans="1:9">
      <c r="A42" s="2"/>
      <c r="B42" s="182"/>
      <c r="C42" s="2"/>
      <c r="D42" s="2"/>
      <c r="E42" s="10"/>
      <c r="F42" s="10"/>
      <c r="G42" s="10"/>
      <c r="H42" s="10"/>
      <c r="I42" s="10"/>
    </row>
    <row r="44" spans="1:9">
      <c r="A44" s="1"/>
      <c r="B44" s="181"/>
      <c r="C44" s="1" t="s">
        <v>78</v>
      </c>
      <c r="D44" s="1"/>
      <c r="E44" s="22">
        <v>401</v>
      </c>
      <c r="F44" s="72">
        <f>+F29</f>
        <v>6560.8700000000008</v>
      </c>
      <c r="G44" s="7">
        <v>0.12</v>
      </c>
      <c r="H44" s="72">
        <f>+F44*G44</f>
        <v>787.3044000000001</v>
      </c>
      <c r="I44" s="1"/>
    </row>
    <row r="45" spans="1:9">
      <c r="A45" s="1"/>
      <c r="B45" s="181"/>
      <c r="C45" s="1" t="s">
        <v>42</v>
      </c>
      <c r="D45" s="1"/>
      <c r="F45" s="72">
        <f>+E29</f>
        <v>1236</v>
      </c>
      <c r="G45" s="1"/>
      <c r="H45" s="72"/>
      <c r="I45" s="1"/>
    </row>
    <row r="46" spans="1:9">
      <c r="A46" s="1"/>
      <c r="B46" s="181"/>
      <c r="C46" s="1" t="s">
        <v>54</v>
      </c>
      <c r="D46" s="1"/>
      <c r="F46" s="274">
        <f>+D29</f>
        <v>0</v>
      </c>
      <c r="G46" s="7"/>
      <c r="H46" s="274"/>
      <c r="I46" s="1"/>
    </row>
    <row r="47" spans="1:9">
      <c r="A47" s="1"/>
      <c r="B47" s="181"/>
      <c r="C47" s="2" t="s">
        <v>73</v>
      </c>
      <c r="D47" s="2"/>
      <c r="E47" s="22"/>
      <c r="F47" s="275">
        <f>SUM(F44:F46)</f>
        <v>7796.8700000000008</v>
      </c>
      <c r="G47" s="5"/>
      <c r="H47" s="275">
        <f>SUM(H44:H46)</f>
        <v>787.3044000000001</v>
      </c>
      <c r="I47" s="1"/>
    </row>
    <row r="48" spans="1:9">
      <c r="A48" s="1"/>
      <c r="B48" s="181"/>
      <c r="C48" s="2"/>
      <c r="D48" s="2"/>
      <c r="E48" s="22"/>
      <c r="F48" s="275"/>
      <c r="G48" s="5"/>
      <c r="H48" s="275"/>
      <c r="I48" s="1"/>
    </row>
    <row r="49" spans="1:10">
      <c r="A49" s="1"/>
      <c r="B49" s="181"/>
      <c r="C49" s="177" t="s">
        <v>222</v>
      </c>
      <c r="D49" s="178"/>
      <c r="E49" s="179"/>
      <c r="F49" s="276">
        <f>+F44/F47</f>
        <v>0.84147484824038365</v>
      </c>
      <c r="G49" s="5"/>
      <c r="H49" s="275"/>
      <c r="I49" s="1"/>
    </row>
    <row r="50" spans="1:10">
      <c r="A50" s="1"/>
      <c r="B50" s="181"/>
      <c r="C50" s="1"/>
      <c r="D50" s="1"/>
      <c r="F50" s="72"/>
      <c r="G50" s="1"/>
      <c r="H50" s="72"/>
      <c r="I50" s="1"/>
    </row>
    <row r="51" spans="1:10">
      <c r="A51" s="1"/>
      <c r="B51" s="181"/>
      <c r="C51" s="1" t="s">
        <v>10</v>
      </c>
      <c r="D51" s="1"/>
      <c r="F51" s="72">
        <f>+D40</f>
        <v>0</v>
      </c>
      <c r="G51" s="7"/>
      <c r="H51" s="72"/>
      <c r="I51" s="1"/>
    </row>
    <row r="52" spans="1:10">
      <c r="A52" s="1"/>
      <c r="B52" s="181"/>
      <c r="C52" s="1" t="s">
        <v>11</v>
      </c>
      <c r="D52" s="1"/>
      <c r="F52" s="274">
        <f>+E40</f>
        <v>99.61</v>
      </c>
      <c r="G52" s="7">
        <v>0.12</v>
      </c>
      <c r="H52" s="274">
        <f>+F52*G52</f>
        <v>11.953199999999999</v>
      </c>
      <c r="I52" s="1"/>
    </row>
    <row r="53" spans="1:10">
      <c r="A53" s="1"/>
      <c r="B53" s="181"/>
      <c r="C53" s="2" t="s">
        <v>72</v>
      </c>
      <c r="D53" s="2"/>
      <c r="E53" s="22"/>
      <c r="F53" s="275">
        <f>SUM(F51:F52)</f>
        <v>99.61</v>
      </c>
      <c r="G53" s="5"/>
      <c r="H53" s="275">
        <f>SUM(H51:H52)</f>
        <v>11.953199999999999</v>
      </c>
      <c r="I53" s="1"/>
    </row>
    <row r="54" spans="1:10">
      <c r="A54" s="1"/>
      <c r="B54" s="181"/>
      <c r="C54" s="2" t="s">
        <v>223</v>
      </c>
      <c r="D54" s="2"/>
      <c r="E54" s="22"/>
      <c r="F54" s="275"/>
      <c r="G54" s="5"/>
      <c r="H54" s="275">
        <f>+H53*F49</f>
        <v>10.058317155986954</v>
      </c>
      <c r="I54" s="1"/>
    </row>
    <row r="55" spans="1:10">
      <c r="A55" s="1"/>
      <c r="B55" s="181"/>
      <c r="C55" s="2"/>
      <c r="D55" s="2"/>
      <c r="E55" s="22"/>
      <c r="F55" s="81"/>
      <c r="G55" s="5"/>
      <c r="H55" s="275"/>
      <c r="I55" s="1"/>
    </row>
    <row r="56" spans="1:10">
      <c r="A56" s="1"/>
      <c r="B56" s="181"/>
      <c r="C56" s="68" t="s">
        <v>70</v>
      </c>
      <c r="D56" s="1"/>
      <c r="F56" s="1"/>
      <c r="G56" s="1"/>
      <c r="H56" s="277">
        <f>+H47-H54</f>
        <v>777.24608284401313</v>
      </c>
      <c r="I56" s="1"/>
    </row>
    <row r="57" spans="1:10">
      <c r="A57" s="1"/>
      <c r="B57" s="181"/>
      <c r="C57" s="1"/>
      <c r="D57" s="1"/>
      <c r="F57" s="1"/>
      <c r="G57" s="1"/>
      <c r="H57" s="72"/>
      <c r="I57" s="1"/>
    </row>
    <row r="58" spans="1:10">
      <c r="A58" s="1"/>
      <c r="B58" s="181"/>
      <c r="C58" s="1" t="s">
        <v>13</v>
      </c>
      <c r="D58" s="1"/>
      <c r="F58" s="1"/>
      <c r="G58" s="1"/>
      <c r="H58" s="72">
        <f>-J29</f>
        <v>-751.30439999999999</v>
      </c>
      <c r="I58" s="1"/>
    </row>
    <row r="59" spans="1:10">
      <c r="A59" s="1"/>
      <c r="B59" s="181"/>
      <c r="C59" s="1"/>
      <c r="D59" s="1"/>
      <c r="F59" s="1"/>
      <c r="G59" s="1"/>
      <c r="H59" s="72"/>
      <c r="I59" s="1"/>
    </row>
    <row r="60" spans="1:10">
      <c r="A60" s="1"/>
      <c r="B60" s="181"/>
      <c r="C60" s="68" t="s">
        <v>12</v>
      </c>
      <c r="D60" s="1"/>
      <c r="F60" s="1"/>
      <c r="G60" s="1"/>
      <c r="H60" s="277">
        <f>+H56+H58</f>
        <v>25.941682844013144</v>
      </c>
      <c r="I60" s="1"/>
    </row>
    <row r="61" spans="1:10">
      <c r="C61" s="1"/>
      <c r="D61" s="1"/>
      <c r="F61" s="1"/>
      <c r="G61" s="1"/>
      <c r="H61" s="72"/>
      <c r="I61" s="1"/>
    </row>
    <row r="62" spans="1:10" ht="15.75">
      <c r="C62" s="70" t="s">
        <v>74</v>
      </c>
      <c r="E62" s="74" t="s">
        <v>75</v>
      </c>
      <c r="F62" s="71">
        <v>605</v>
      </c>
      <c r="H62" s="72">
        <f>ENERO!I74</f>
        <v>5584.9038663218007</v>
      </c>
      <c r="I62" s="1"/>
    </row>
    <row r="63" spans="1:10" ht="15.75">
      <c r="C63" s="70" t="s">
        <v>74</v>
      </c>
      <c r="E63" s="74" t="s">
        <v>76</v>
      </c>
      <c r="F63" s="71">
        <v>606</v>
      </c>
      <c r="H63" s="72">
        <f>ENERO!I75</f>
        <v>-989.66200731551305</v>
      </c>
      <c r="I63" s="1"/>
    </row>
    <row r="64" spans="1:10" ht="15.75">
      <c r="C64" s="70"/>
      <c r="F64" s="71"/>
      <c r="H64" s="73"/>
      <c r="J64" s="17"/>
    </row>
    <row r="65" spans="3:9" ht="15.75">
      <c r="C65" s="70"/>
      <c r="F65" s="71"/>
      <c r="H65" s="73"/>
      <c r="I65" s="1"/>
    </row>
    <row r="66" spans="3:9" ht="15.75">
      <c r="C66" s="70" t="s">
        <v>77</v>
      </c>
      <c r="F66" s="71">
        <v>615</v>
      </c>
      <c r="H66" s="73">
        <f>SUM(H56,H62)</f>
        <v>6362.1499491658142</v>
      </c>
    </row>
    <row r="67" spans="3:9" ht="15.75">
      <c r="C67" s="70" t="s">
        <v>77</v>
      </c>
      <c r="F67" s="71">
        <v>617</v>
      </c>
      <c r="H67" s="72">
        <f>+H60+H62+H63</f>
        <v>4621.1835418503015</v>
      </c>
    </row>
  </sheetData>
  <sheetProtection formatCells="0" formatColumns="0" formatRows="0"/>
  <sortState ref="A18:H23">
    <sortCondition ref="A18:A23"/>
  </sortState>
  <pageMargins left="0.51181102362204722" right="0.5118110236220472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CCFF99"/>
    <pageSetUpPr fitToPage="1"/>
  </sheetPr>
  <dimension ref="A1:K75"/>
  <sheetViews>
    <sheetView topLeftCell="A10" zoomScale="80" zoomScaleNormal="80" workbookViewId="0">
      <selection activeCell="H63" sqref="H63"/>
    </sheetView>
  </sheetViews>
  <sheetFormatPr baseColWidth="10" defaultRowHeight="15"/>
  <cols>
    <col min="1" max="1" width="8.140625" customWidth="1"/>
    <col min="2" max="2" width="16.140625" customWidth="1"/>
    <col min="3" max="3" width="28.5703125" customWidth="1"/>
    <col min="4" max="4" width="12.5703125" bestFit="1" customWidth="1"/>
    <col min="10" max="10" width="14" customWidth="1"/>
  </cols>
  <sheetData>
    <row r="1" spans="1:11">
      <c r="A1" s="2"/>
      <c r="B1" s="1"/>
      <c r="C1" s="1"/>
      <c r="D1" s="1"/>
      <c r="E1" s="4"/>
      <c r="F1" s="4"/>
      <c r="G1" s="4"/>
      <c r="H1" s="4"/>
      <c r="I1" s="4"/>
    </row>
    <row r="2" spans="1:11" ht="15.75" thickBot="1">
      <c r="A2" s="2" t="s">
        <v>71</v>
      </c>
      <c r="B2" s="1"/>
      <c r="C2" s="1"/>
      <c r="D2" s="1"/>
      <c r="E2" s="4"/>
      <c r="F2" s="4"/>
      <c r="G2" s="4"/>
      <c r="H2" s="4"/>
      <c r="I2" s="4"/>
    </row>
    <row r="3" spans="1:11" ht="15.75" thickBot="1">
      <c r="A3" s="268" t="s">
        <v>264</v>
      </c>
      <c r="B3" s="269"/>
      <c r="C3" s="1"/>
      <c r="D3" s="1"/>
      <c r="E3" s="1"/>
      <c r="F3" s="1"/>
      <c r="G3" s="1"/>
      <c r="H3" s="1"/>
      <c r="I3" s="1"/>
    </row>
    <row r="4" spans="1:11">
      <c r="A4" s="6"/>
      <c r="B4" s="1"/>
      <c r="C4" s="1"/>
      <c r="D4" s="1"/>
      <c r="E4" s="1"/>
      <c r="F4" s="1"/>
      <c r="G4" s="1"/>
      <c r="H4" s="1"/>
      <c r="I4" s="1"/>
    </row>
    <row r="5" spans="1:11">
      <c r="A5" s="2" t="s">
        <v>0</v>
      </c>
      <c r="B5" s="1"/>
      <c r="C5" s="1"/>
      <c r="D5" s="1"/>
      <c r="E5" s="1"/>
      <c r="F5" s="1"/>
      <c r="G5" s="1"/>
      <c r="H5" s="1"/>
      <c r="I5" s="1"/>
    </row>
    <row r="6" spans="1:11" ht="15.75" thickBot="1">
      <c r="A6" s="1"/>
      <c r="B6" s="3"/>
      <c r="C6" s="3"/>
      <c r="D6" s="3"/>
      <c r="E6" s="12"/>
      <c r="F6" s="12"/>
      <c r="G6" s="12"/>
      <c r="H6" s="12"/>
      <c r="I6" s="12"/>
    </row>
    <row r="7" spans="1:11" ht="25.5" thickTop="1" thickBot="1">
      <c r="A7" s="1" t="s">
        <v>1</v>
      </c>
      <c r="B7" s="38" t="s">
        <v>2</v>
      </c>
      <c r="C7" s="38" t="s">
        <v>3</v>
      </c>
      <c r="D7" s="38" t="s">
        <v>54</v>
      </c>
      <c r="E7" s="38" t="s">
        <v>52</v>
      </c>
      <c r="F7" s="38" t="s">
        <v>49</v>
      </c>
      <c r="G7" s="38" t="s">
        <v>4</v>
      </c>
      <c r="H7" s="38" t="s">
        <v>9</v>
      </c>
      <c r="I7" s="38" t="s">
        <v>50</v>
      </c>
      <c r="J7" s="38" t="s">
        <v>51</v>
      </c>
    </row>
    <row r="8" spans="1:11" ht="15.75" thickTop="1">
      <c r="A8" s="1"/>
      <c r="B8" s="1">
        <v>1286</v>
      </c>
      <c r="C8" s="1" t="s">
        <v>284</v>
      </c>
      <c r="D8" s="289"/>
      <c r="E8" s="289"/>
      <c r="F8" s="289">
        <v>1444.44</v>
      </c>
      <c r="G8" s="289">
        <f>+F8*0.12</f>
        <v>173.33279999999999</v>
      </c>
      <c r="H8" s="289">
        <f>+D8+E8+F8+G8</f>
        <v>1617.7728</v>
      </c>
      <c r="I8" s="289">
        <f>+F8*10%</f>
        <v>144.44400000000002</v>
      </c>
      <c r="J8" s="289">
        <f>+G8*100%</f>
        <v>173.33279999999999</v>
      </c>
      <c r="K8" s="204"/>
    </row>
    <row r="9" spans="1:11">
      <c r="A9" s="1"/>
      <c r="B9" s="1">
        <v>1287</v>
      </c>
      <c r="C9" s="1" t="s">
        <v>255</v>
      </c>
      <c r="D9" s="289"/>
      <c r="E9" s="289"/>
      <c r="F9" s="289">
        <v>1320</v>
      </c>
      <c r="G9" s="289">
        <f t="shared" ref="G9:G23" si="0">+F9*0.12</f>
        <v>158.4</v>
      </c>
      <c r="H9" s="289">
        <f t="shared" ref="H9:H22" si="1">+D9+E9+F9+G9</f>
        <v>1478.4</v>
      </c>
      <c r="I9" s="289">
        <f t="shared" ref="I9:I23" si="2">+F9*10%</f>
        <v>132</v>
      </c>
      <c r="J9" s="289">
        <f t="shared" ref="J9:J23" si="3">+G9*100%</f>
        <v>158.4</v>
      </c>
    </row>
    <row r="10" spans="1:11">
      <c r="A10" s="1"/>
      <c r="B10" s="1">
        <v>1288</v>
      </c>
      <c r="C10" s="1" t="s">
        <v>285</v>
      </c>
      <c r="D10" s="289"/>
      <c r="E10" s="289"/>
      <c r="F10" s="289">
        <v>354.44</v>
      </c>
      <c r="G10" s="289">
        <f t="shared" si="0"/>
        <v>42.532799999999995</v>
      </c>
      <c r="H10" s="289">
        <f t="shared" si="1"/>
        <v>396.97280000000001</v>
      </c>
      <c r="I10" s="289">
        <f t="shared" si="2"/>
        <v>35.444000000000003</v>
      </c>
      <c r="J10" s="289">
        <f t="shared" si="3"/>
        <v>42.532799999999995</v>
      </c>
    </row>
    <row r="11" spans="1:11">
      <c r="A11" s="1"/>
      <c r="B11" s="1">
        <v>1289</v>
      </c>
      <c r="C11" s="1" t="s">
        <v>250</v>
      </c>
      <c r="D11" s="289"/>
      <c r="E11" s="289"/>
      <c r="F11" s="289">
        <v>491.99</v>
      </c>
      <c r="G11" s="289">
        <f t="shared" si="0"/>
        <v>59.038800000000002</v>
      </c>
      <c r="H11" s="289">
        <f t="shared" si="1"/>
        <v>551.02880000000005</v>
      </c>
      <c r="I11" s="289">
        <f t="shared" si="2"/>
        <v>49.199000000000005</v>
      </c>
      <c r="J11" s="289">
        <f t="shared" si="3"/>
        <v>59.038800000000002</v>
      </c>
    </row>
    <row r="12" spans="1:11">
      <c r="A12" s="1"/>
      <c r="B12" s="1">
        <v>1290</v>
      </c>
      <c r="C12" s="1" t="s">
        <v>286</v>
      </c>
      <c r="D12" s="289"/>
      <c r="E12" s="289"/>
      <c r="F12" s="289">
        <v>200</v>
      </c>
      <c r="G12" s="289">
        <f t="shared" si="0"/>
        <v>24</v>
      </c>
      <c r="H12" s="289">
        <f t="shared" si="1"/>
        <v>224</v>
      </c>
      <c r="I12" s="289">
        <f t="shared" si="2"/>
        <v>20</v>
      </c>
      <c r="J12" s="289">
        <f t="shared" si="3"/>
        <v>24</v>
      </c>
    </row>
    <row r="13" spans="1:11">
      <c r="A13" s="1"/>
      <c r="B13" s="1">
        <v>1291</v>
      </c>
      <c r="C13" s="1" t="s">
        <v>287</v>
      </c>
      <c r="D13" s="289"/>
      <c r="E13" s="289"/>
      <c r="F13" s="289">
        <v>100</v>
      </c>
      <c r="G13" s="289">
        <f t="shared" si="0"/>
        <v>12</v>
      </c>
      <c r="H13" s="289">
        <f t="shared" si="1"/>
        <v>112</v>
      </c>
      <c r="I13" s="289">
        <f t="shared" si="2"/>
        <v>10</v>
      </c>
      <c r="J13" s="289">
        <f t="shared" si="3"/>
        <v>12</v>
      </c>
    </row>
    <row r="14" spans="1:11">
      <c r="A14" s="1"/>
      <c r="B14" s="1">
        <v>1292</v>
      </c>
      <c r="C14" s="1" t="s">
        <v>256</v>
      </c>
      <c r="D14" s="289"/>
      <c r="E14" s="289">
        <v>420</v>
      </c>
      <c r="F14" s="289"/>
      <c r="G14" s="289">
        <f t="shared" si="0"/>
        <v>0</v>
      </c>
      <c r="H14" s="289">
        <f t="shared" si="1"/>
        <v>420</v>
      </c>
      <c r="I14" s="289">
        <f t="shared" si="2"/>
        <v>0</v>
      </c>
      <c r="J14" s="289">
        <f t="shared" si="3"/>
        <v>0</v>
      </c>
    </row>
    <row r="15" spans="1:11">
      <c r="A15" s="1"/>
      <c r="B15" s="1">
        <v>1293</v>
      </c>
      <c r="C15" s="1" t="s">
        <v>257</v>
      </c>
      <c r="D15" s="289"/>
      <c r="E15" s="289">
        <v>550</v>
      </c>
      <c r="F15" s="289"/>
      <c r="G15" s="289">
        <f t="shared" si="0"/>
        <v>0</v>
      </c>
      <c r="H15" s="289">
        <f t="shared" si="1"/>
        <v>550</v>
      </c>
      <c r="I15" s="289">
        <f t="shared" si="2"/>
        <v>0</v>
      </c>
      <c r="J15" s="289">
        <f t="shared" si="3"/>
        <v>0</v>
      </c>
    </row>
    <row r="16" spans="1:11">
      <c r="A16" s="1"/>
      <c r="B16" s="1">
        <v>1294</v>
      </c>
      <c r="C16" s="1" t="s">
        <v>288</v>
      </c>
      <c r="D16" s="289"/>
      <c r="E16" s="289">
        <v>266</v>
      </c>
      <c r="F16" s="289"/>
      <c r="G16" s="289">
        <f t="shared" si="0"/>
        <v>0</v>
      </c>
      <c r="H16" s="289">
        <f t="shared" si="1"/>
        <v>266</v>
      </c>
      <c r="I16" s="289">
        <f t="shared" si="2"/>
        <v>0</v>
      </c>
      <c r="J16" s="289">
        <f t="shared" si="3"/>
        <v>0</v>
      </c>
    </row>
    <row r="17" spans="1:10">
      <c r="A17" s="1"/>
      <c r="B17" s="1">
        <v>1295</v>
      </c>
      <c r="C17" s="1" t="s">
        <v>229</v>
      </c>
      <c r="D17" s="289"/>
      <c r="E17" s="289"/>
      <c r="F17" s="289">
        <v>555.55999999999995</v>
      </c>
      <c r="G17" s="289">
        <f t="shared" si="0"/>
        <v>66.667199999999994</v>
      </c>
      <c r="H17" s="289">
        <f t="shared" si="1"/>
        <v>622.22719999999993</v>
      </c>
      <c r="I17" s="289">
        <f t="shared" si="2"/>
        <v>55.555999999999997</v>
      </c>
      <c r="J17" s="289">
        <f t="shared" si="3"/>
        <v>66.667199999999994</v>
      </c>
    </row>
    <row r="18" spans="1:10">
      <c r="A18" s="1"/>
      <c r="B18" s="1">
        <v>1296</v>
      </c>
      <c r="C18" s="1" t="s">
        <v>229</v>
      </c>
      <c r="D18" s="289"/>
      <c r="E18" s="289"/>
      <c r="F18" s="289">
        <v>1866.67</v>
      </c>
      <c r="G18" s="289">
        <f t="shared" si="0"/>
        <v>224.00040000000001</v>
      </c>
      <c r="H18" s="289">
        <f t="shared" si="1"/>
        <v>2090.6704</v>
      </c>
      <c r="I18" s="289">
        <f t="shared" si="2"/>
        <v>186.66700000000003</v>
      </c>
      <c r="J18" s="289">
        <f t="shared" si="3"/>
        <v>224.00040000000001</v>
      </c>
    </row>
    <row r="19" spans="1:10">
      <c r="A19" s="1"/>
      <c r="B19" s="1">
        <v>1297</v>
      </c>
      <c r="C19" s="1" t="s">
        <v>229</v>
      </c>
      <c r="D19" s="289"/>
      <c r="E19" s="289"/>
      <c r="F19" s="289">
        <v>746.67</v>
      </c>
      <c r="G19" s="289">
        <f t="shared" si="0"/>
        <v>89.600399999999993</v>
      </c>
      <c r="H19" s="289">
        <f t="shared" si="1"/>
        <v>836.2704</v>
      </c>
      <c r="I19" s="289">
        <f t="shared" si="2"/>
        <v>74.667000000000002</v>
      </c>
      <c r="J19" s="289">
        <f t="shared" si="3"/>
        <v>89.600399999999993</v>
      </c>
    </row>
    <row r="20" spans="1:10">
      <c r="A20" s="1"/>
      <c r="B20" s="1"/>
      <c r="C20" s="1"/>
      <c r="D20" s="289"/>
      <c r="E20" s="289"/>
      <c r="F20" s="289"/>
      <c r="G20" s="289">
        <f t="shared" si="0"/>
        <v>0</v>
      </c>
      <c r="H20" s="289">
        <f t="shared" si="1"/>
        <v>0</v>
      </c>
      <c r="I20" s="289">
        <f t="shared" si="2"/>
        <v>0</v>
      </c>
      <c r="J20" s="289">
        <f t="shared" si="3"/>
        <v>0</v>
      </c>
    </row>
    <row r="21" spans="1:10">
      <c r="A21" s="1"/>
      <c r="B21" s="1"/>
      <c r="C21" s="1"/>
      <c r="D21" s="289"/>
      <c r="E21" s="289"/>
      <c r="F21" s="289"/>
      <c r="G21" s="289">
        <f t="shared" si="0"/>
        <v>0</v>
      </c>
      <c r="H21" s="289">
        <f t="shared" si="1"/>
        <v>0</v>
      </c>
      <c r="I21" s="289">
        <f t="shared" si="2"/>
        <v>0</v>
      </c>
      <c r="J21" s="289">
        <f t="shared" si="3"/>
        <v>0</v>
      </c>
    </row>
    <row r="22" spans="1:10">
      <c r="A22" s="2"/>
      <c r="B22" s="2"/>
      <c r="C22" s="2"/>
      <c r="D22" s="289"/>
      <c r="E22" s="289"/>
      <c r="F22" s="289"/>
      <c r="G22" s="289">
        <f t="shared" si="0"/>
        <v>0</v>
      </c>
      <c r="H22" s="289">
        <f t="shared" si="1"/>
        <v>0</v>
      </c>
      <c r="I22" s="289">
        <f t="shared" si="2"/>
        <v>0</v>
      </c>
      <c r="J22" s="289">
        <f t="shared" si="3"/>
        <v>0</v>
      </c>
    </row>
    <row r="23" spans="1:10">
      <c r="A23" s="2"/>
      <c r="B23" s="2"/>
      <c r="C23" s="2"/>
      <c r="D23" s="289"/>
      <c r="E23" s="289"/>
      <c r="F23" s="289"/>
      <c r="G23" s="289">
        <f t="shared" si="0"/>
        <v>0</v>
      </c>
      <c r="H23" s="289">
        <f>+D23+E23+F23+G23</f>
        <v>0</v>
      </c>
      <c r="I23" s="289">
        <f t="shared" si="2"/>
        <v>0</v>
      </c>
      <c r="J23" s="289">
        <f t="shared" si="3"/>
        <v>0</v>
      </c>
    </row>
    <row r="24" spans="1:10" ht="15.75" thickBot="1">
      <c r="A24" s="2"/>
      <c r="B24" s="2"/>
      <c r="C24" s="2"/>
      <c r="D24" s="8">
        <f t="shared" ref="D24:J24" si="4">SUM(D8:D23)</f>
        <v>0</v>
      </c>
      <c r="E24" s="79">
        <f t="shared" si="4"/>
        <v>1236</v>
      </c>
      <c r="F24" s="79">
        <f t="shared" si="4"/>
        <v>7079.77</v>
      </c>
      <c r="G24" s="79">
        <f t="shared" si="4"/>
        <v>849.57240000000002</v>
      </c>
      <c r="H24" s="79">
        <f t="shared" si="4"/>
        <v>9165.3423999999995</v>
      </c>
      <c r="I24" s="79">
        <f t="shared" si="4"/>
        <v>707.97700000000009</v>
      </c>
      <c r="J24" s="79">
        <f t="shared" si="4"/>
        <v>849.57240000000002</v>
      </c>
    </row>
    <row r="25" spans="1:10">
      <c r="A25" s="1"/>
      <c r="B25" s="1"/>
      <c r="C25" s="1"/>
      <c r="D25" s="1"/>
      <c r="E25" s="4"/>
      <c r="F25" s="4"/>
      <c r="G25" s="1"/>
      <c r="H25" s="1"/>
      <c r="I25" s="1"/>
    </row>
    <row r="26" spans="1:10">
      <c r="A26" s="2" t="s">
        <v>6</v>
      </c>
      <c r="B26" s="1"/>
      <c r="C26" s="1"/>
      <c r="D26" s="1"/>
      <c r="E26" s="1"/>
      <c r="F26" s="1"/>
      <c r="G26" s="1"/>
      <c r="H26" s="1"/>
      <c r="I26" s="3"/>
    </row>
    <row r="27" spans="1:10" ht="15.75" thickBot="1">
      <c r="A27" s="1"/>
      <c r="B27" s="3"/>
      <c r="C27" s="3"/>
      <c r="D27" s="3"/>
      <c r="E27" s="3"/>
      <c r="F27" s="3"/>
      <c r="G27" s="3"/>
      <c r="H27" s="3"/>
      <c r="I27" s="4"/>
    </row>
    <row r="28" spans="1:10" ht="24" customHeight="1" thickTop="1" thickBot="1">
      <c r="A28" s="1" t="s">
        <v>1</v>
      </c>
      <c r="B28" s="38" t="s">
        <v>2</v>
      </c>
      <c r="C28" s="38" t="s">
        <v>3</v>
      </c>
      <c r="D28" s="38" t="s">
        <v>7</v>
      </c>
      <c r="E28" s="38" t="s">
        <v>8</v>
      </c>
      <c r="F28" s="38" t="s">
        <v>4</v>
      </c>
      <c r="G28" s="38" t="s">
        <v>5</v>
      </c>
      <c r="I28" s="4"/>
    </row>
    <row r="29" spans="1:10" ht="15.75" thickTop="1">
      <c r="A29" s="1"/>
      <c r="B29" s="1">
        <v>54182388</v>
      </c>
      <c r="C29" s="1" t="s">
        <v>249</v>
      </c>
      <c r="D29" s="290"/>
      <c r="E29" s="288">
        <v>10</v>
      </c>
      <c r="F29" s="288">
        <f>+E29*0.12</f>
        <v>1.2</v>
      </c>
      <c r="G29" s="288">
        <f>+D29+E29+F29</f>
        <v>11.2</v>
      </c>
    </row>
    <row r="30" spans="1:10">
      <c r="A30" s="1"/>
      <c r="B30" s="1">
        <v>23327</v>
      </c>
      <c r="C30" s="1" t="s">
        <v>289</v>
      </c>
      <c r="D30" s="290"/>
      <c r="E30" s="288">
        <v>16</v>
      </c>
      <c r="F30" s="288">
        <f t="shared" ref="F30:F36" si="5">+E30*0.12</f>
        <v>1.92</v>
      </c>
      <c r="G30" s="288">
        <f t="shared" ref="G30:G36" si="6">+D30+E30+F30</f>
        <v>17.920000000000002</v>
      </c>
    </row>
    <row r="31" spans="1:10">
      <c r="A31" s="1"/>
      <c r="B31" s="1"/>
      <c r="C31" s="1"/>
      <c r="D31" s="290"/>
      <c r="E31" s="288"/>
      <c r="F31" s="288">
        <f t="shared" si="5"/>
        <v>0</v>
      </c>
      <c r="G31" s="288">
        <f t="shared" si="6"/>
        <v>0</v>
      </c>
    </row>
    <row r="32" spans="1:10">
      <c r="A32" s="1"/>
      <c r="B32" s="1"/>
      <c r="C32" s="1"/>
      <c r="D32" s="290"/>
      <c r="E32" s="288"/>
      <c r="F32" s="288">
        <f t="shared" si="5"/>
        <v>0</v>
      </c>
      <c r="G32" s="288">
        <f t="shared" si="6"/>
        <v>0</v>
      </c>
    </row>
    <row r="33" spans="1:9">
      <c r="A33" s="1"/>
      <c r="B33" s="1"/>
      <c r="C33" s="1"/>
      <c r="D33" s="290"/>
      <c r="E33" s="288"/>
      <c r="F33" s="288">
        <f t="shared" si="5"/>
        <v>0</v>
      </c>
      <c r="G33" s="288">
        <f t="shared" si="6"/>
        <v>0</v>
      </c>
    </row>
    <row r="34" spans="1:9">
      <c r="A34" s="1"/>
      <c r="B34" s="1"/>
      <c r="C34" s="1"/>
      <c r="D34" s="290"/>
      <c r="E34" s="288"/>
      <c r="F34" s="288">
        <f t="shared" si="5"/>
        <v>0</v>
      </c>
      <c r="G34" s="288">
        <f t="shared" si="6"/>
        <v>0</v>
      </c>
    </row>
    <row r="35" spans="1:9">
      <c r="A35" s="1"/>
      <c r="B35" s="1"/>
      <c r="C35" s="1"/>
      <c r="D35" s="290"/>
      <c r="E35" s="288"/>
      <c r="F35" s="288">
        <f t="shared" si="5"/>
        <v>0</v>
      </c>
      <c r="G35" s="288">
        <f t="shared" si="6"/>
        <v>0</v>
      </c>
    </row>
    <row r="36" spans="1:9">
      <c r="A36" s="1"/>
      <c r="B36" s="1"/>
      <c r="C36" s="1"/>
      <c r="D36" s="290"/>
      <c r="E36" s="288"/>
      <c r="F36" s="288">
        <f t="shared" si="5"/>
        <v>0</v>
      </c>
      <c r="G36" s="288">
        <f t="shared" si="6"/>
        <v>0</v>
      </c>
    </row>
    <row r="37" spans="1:9" ht="15.75" thickBot="1">
      <c r="A37" s="2"/>
      <c r="B37" s="2"/>
      <c r="C37" s="2"/>
      <c r="D37" s="291">
        <f>SUM(D29:D36)</f>
        <v>0</v>
      </c>
      <c r="E37" s="291">
        <f>SUM(E29:E36)</f>
        <v>26</v>
      </c>
      <c r="F37" s="291">
        <f>SUM(F29:F36)</f>
        <v>3.12</v>
      </c>
      <c r="G37" s="291">
        <f>SUM(G29:G36)</f>
        <v>29.12</v>
      </c>
    </row>
    <row r="38" spans="1:9">
      <c r="A38" s="2"/>
      <c r="B38" s="2"/>
      <c r="C38" s="2"/>
      <c r="D38" s="2"/>
      <c r="E38" s="10"/>
      <c r="F38" s="10"/>
      <c r="G38" s="10"/>
      <c r="H38" s="10"/>
      <c r="I38" s="10"/>
    </row>
    <row r="39" spans="1:9">
      <c r="A39" s="2"/>
      <c r="B39" s="2"/>
      <c r="C39" s="2"/>
      <c r="D39" s="2"/>
      <c r="E39" s="10"/>
      <c r="F39" s="10"/>
      <c r="G39" s="10"/>
      <c r="H39" s="10"/>
      <c r="I39" s="10"/>
    </row>
    <row r="41" spans="1:9">
      <c r="A41" s="1"/>
      <c r="B41" s="1"/>
      <c r="C41" s="1" t="s">
        <v>78</v>
      </c>
      <c r="D41" s="1"/>
      <c r="E41" s="22">
        <v>401</v>
      </c>
      <c r="F41" s="11">
        <f>+F24</f>
        <v>7079.77</v>
      </c>
      <c r="G41" s="7">
        <v>0.12</v>
      </c>
      <c r="H41" s="4">
        <f>+F41*G41</f>
        <v>849.57240000000002</v>
      </c>
      <c r="I41" s="1"/>
    </row>
    <row r="42" spans="1:9">
      <c r="A42" s="1"/>
      <c r="B42" s="1"/>
      <c r="C42" s="1" t="s">
        <v>42</v>
      </c>
      <c r="D42" s="1"/>
      <c r="F42" s="11">
        <f>+E24</f>
        <v>1236</v>
      </c>
      <c r="G42" s="1"/>
      <c r="H42" s="4"/>
      <c r="I42" s="1"/>
    </row>
    <row r="43" spans="1:9">
      <c r="A43" s="1"/>
      <c r="B43" s="1"/>
      <c r="C43" s="1" t="s">
        <v>54</v>
      </c>
      <c r="D43" s="1"/>
      <c r="F43" s="80">
        <f>+D24</f>
        <v>0</v>
      </c>
      <c r="G43" s="7"/>
      <c r="H43" s="9"/>
      <c r="I43" s="1"/>
    </row>
    <row r="44" spans="1:9">
      <c r="A44" s="1"/>
      <c r="B44" s="1"/>
      <c r="C44" s="2" t="s">
        <v>73</v>
      </c>
      <c r="D44" s="2"/>
      <c r="E44" s="22"/>
      <c r="F44" s="81">
        <f>SUM(F41:F43)</f>
        <v>8315.77</v>
      </c>
      <c r="G44" s="5"/>
      <c r="H44" s="5">
        <f>SUM(H41:H43)</f>
        <v>849.57240000000002</v>
      </c>
      <c r="I44" s="1"/>
    </row>
    <row r="45" spans="1:9">
      <c r="A45" s="1"/>
      <c r="B45" s="1"/>
      <c r="C45" s="2"/>
      <c r="D45" s="2"/>
      <c r="E45" s="22"/>
      <c r="F45" s="81"/>
      <c r="G45" s="5"/>
      <c r="H45" s="5"/>
      <c r="I45" s="1"/>
    </row>
    <row r="46" spans="1:9">
      <c r="A46" s="1"/>
      <c r="B46" s="1"/>
      <c r="C46" s="177" t="s">
        <v>222</v>
      </c>
      <c r="D46" s="178"/>
      <c r="E46" s="179"/>
      <c r="F46" s="209">
        <f>+F41/F44</f>
        <v>0.85136674054236705</v>
      </c>
      <c r="G46" s="5"/>
      <c r="H46" s="5"/>
      <c r="I46" s="1"/>
    </row>
    <row r="47" spans="1:9">
      <c r="A47" s="1"/>
      <c r="B47" s="1"/>
      <c r="C47" s="1"/>
      <c r="D47" s="1"/>
      <c r="F47" s="11"/>
      <c r="G47" s="1"/>
      <c r="H47" s="4"/>
      <c r="I47" s="1"/>
    </row>
    <row r="48" spans="1:9">
      <c r="A48" s="1"/>
      <c r="B48" s="1"/>
      <c r="C48" s="1" t="s">
        <v>10</v>
      </c>
      <c r="D48" s="1"/>
      <c r="F48" s="11">
        <f>+D37</f>
        <v>0</v>
      </c>
      <c r="G48" s="1"/>
      <c r="H48" s="4">
        <v>0</v>
      </c>
      <c r="I48" s="1"/>
    </row>
    <row r="49" spans="1:10">
      <c r="A49" s="1"/>
      <c r="B49" s="1"/>
      <c r="C49" s="1" t="s">
        <v>11</v>
      </c>
      <c r="D49" s="1"/>
      <c r="F49" s="80">
        <f>+E37</f>
        <v>26</v>
      </c>
      <c r="G49" s="7">
        <v>0.12</v>
      </c>
      <c r="H49" s="9">
        <f>+F49*G49</f>
        <v>3.12</v>
      </c>
      <c r="I49" s="1"/>
    </row>
    <row r="50" spans="1:10">
      <c r="A50" s="1"/>
      <c r="B50" s="1"/>
      <c r="C50" s="2" t="s">
        <v>72</v>
      </c>
      <c r="D50" s="2"/>
      <c r="E50" s="22"/>
      <c r="F50" s="81">
        <f>SUM(F48:F49)</f>
        <v>26</v>
      </c>
      <c r="G50" s="5"/>
      <c r="H50" s="5">
        <f>SUM(H48:H49)</f>
        <v>3.12</v>
      </c>
      <c r="I50" s="1"/>
    </row>
    <row r="51" spans="1:10">
      <c r="A51" s="1"/>
      <c r="B51" s="1"/>
      <c r="C51" s="2" t="s">
        <v>223</v>
      </c>
      <c r="D51" s="2"/>
      <c r="E51" s="22"/>
      <c r="F51" s="81"/>
      <c r="G51" s="5"/>
      <c r="H51" s="5">
        <f>+H50*F46</f>
        <v>2.6562642304921851</v>
      </c>
      <c r="I51" s="1"/>
    </row>
    <row r="52" spans="1:10">
      <c r="A52" s="1"/>
      <c r="B52" s="1"/>
      <c r="C52" s="1"/>
      <c r="D52" s="1"/>
      <c r="F52" s="4"/>
      <c r="G52" s="1"/>
      <c r="H52" s="4"/>
      <c r="I52" s="1"/>
    </row>
    <row r="53" spans="1:10">
      <c r="A53" s="1"/>
      <c r="B53" s="1"/>
      <c r="C53" s="68" t="s">
        <v>70</v>
      </c>
      <c r="D53" s="1"/>
      <c r="F53" s="1"/>
      <c r="G53" s="1"/>
      <c r="H53" s="69">
        <f>+H44-H51-0.01</f>
        <v>846.90613576950784</v>
      </c>
      <c r="I53" s="1"/>
    </row>
    <row r="54" spans="1:10">
      <c r="A54" s="1"/>
      <c r="B54" s="1"/>
      <c r="C54" s="1"/>
      <c r="D54" s="1"/>
      <c r="F54" s="1"/>
      <c r="G54" s="1"/>
      <c r="H54" s="4"/>
      <c r="I54" s="1"/>
    </row>
    <row r="55" spans="1:10">
      <c r="A55" s="1"/>
      <c r="B55" s="1"/>
      <c r="C55" s="1" t="s">
        <v>13</v>
      </c>
      <c r="D55" s="1"/>
      <c r="F55" s="1"/>
      <c r="G55" s="1"/>
      <c r="H55" s="4">
        <f>-J24</f>
        <v>-849.57240000000002</v>
      </c>
      <c r="I55" s="1"/>
    </row>
    <row r="56" spans="1:10">
      <c r="A56" s="1"/>
      <c r="B56" s="1"/>
      <c r="C56" s="1"/>
      <c r="D56" s="1"/>
      <c r="F56" s="1"/>
      <c r="G56" s="1"/>
      <c r="H56" s="4"/>
      <c r="I56" s="1"/>
    </row>
    <row r="57" spans="1:10">
      <c r="A57" s="1"/>
      <c r="B57" s="1"/>
      <c r="C57" s="68" t="s">
        <v>12</v>
      </c>
      <c r="D57" s="1"/>
      <c r="F57" s="1"/>
      <c r="G57" s="1"/>
      <c r="H57" s="69">
        <f>+H53+H55</f>
        <v>-2.6662642304921746</v>
      </c>
      <c r="I57" s="1"/>
    </row>
    <row r="58" spans="1:10">
      <c r="C58" s="1"/>
      <c r="D58" s="1"/>
      <c r="F58" s="1"/>
      <c r="G58" s="1"/>
      <c r="H58" s="4"/>
      <c r="I58" s="1"/>
    </row>
    <row r="59" spans="1:10" ht="15.75">
      <c r="C59" s="70" t="s">
        <v>74</v>
      </c>
      <c r="E59" s="74" t="s">
        <v>75</v>
      </c>
      <c r="F59" s="71">
        <v>605</v>
      </c>
      <c r="H59" s="72">
        <f>+FEBRERO!H66</f>
        <v>6362.1499491658142</v>
      </c>
      <c r="I59" s="1"/>
    </row>
    <row r="60" spans="1:10" ht="15.75">
      <c r="C60" s="70" t="s">
        <v>74</v>
      </c>
      <c r="E60" s="74" t="s">
        <v>76</v>
      </c>
      <c r="F60" s="71">
        <v>607</v>
      </c>
      <c r="H60" s="72">
        <f>+FEBRERO!H67</f>
        <v>4621.1835418503015</v>
      </c>
      <c r="I60" s="1"/>
    </row>
    <row r="61" spans="1:10" ht="15.75">
      <c r="C61" s="70"/>
      <c r="F61" s="71"/>
      <c r="H61" s="73"/>
      <c r="J61" s="17"/>
    </row>
    <row r="62" spans="1:10" ht="15.75">
      <c r="C62" s="70"/>
      <c r="F62" s="71"/>
      <c r="H62" s="73"/>
      <c r="I62" s="1"/>
    </row>
    <row r="63" spans="1:10" ht="15.75">
      <c r="C63" s="70" t="s">
        <v>77</v>
      </c>
      <c r="F63" s="71">
        <v>615</v>
      </c>
      <c r="H63" s="73">
        <f>+H59</f>
        <v>6362.1499491658142</v>
      </c>
    </row>
    <row r="64" spans="1:10" ht="15.75">
      <c r="C64" s="70" t="s">
        <v>77</v>
      </c>
      <c r="F64" s="71">
        <v>617</v>
      </c>
      <c r="H64" s="72">
        <f>+H60+H57+0.01</f>
        <v>4618.5272776198099</v>
      </c>
      <c r="I64" s="83"/>
    </row>
    <row r="75" spans="9:9">
      <c r="I75" t="s">
        <v>347</v>
      </c>
    </row>
  </sheetData>
  <pageMargins left="0.51181102362204722" right="0.5118110236220472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0.39997558519241921"/>
    <pageSetUpPr fitToPage="1"/>
  </sheetPr>
  <dimension ref="A1:J65"/>
  <sheetViews>
    <sheetView topLeftCell="B43" zoomScale="80" zoomScaleNormal="80" workbookViewId="0">
      <selection activeCell="H60" sqref="H60"/>
    </sheetView>
  </sheetViews>
  <sheetFormatPr baseColWidth="10" defaultRowHeight="15"/>
  <cols>
    <col min="1" max="1" width="8.140625" customWidth="1"/>
    <col min="2" max="2" width="16.140625" customWidth="1"/>
    <col min="3" max="3" width="28.5703125" customWidth="1"/>
    <col min="4" max="4" width="12.5703125" bestFit="1" customWidth="1"/>
    <col min="10" max="10" width="14" customWidth="1"/>
  </cols>
  <sheetData>
    <row r="1" spans="1:10">
      <c r="A1" s="2"/>
      <c r="B1" s="1"/>
      <c r="C1" s="1"/>
      <c r="D1" s="1"/>
      <c r="E1" s="4"/>
      <c r="F1" s="4"/>
      <c r="G1" s="4"/>
      <c r="H1" s="4"/>
      <c r="I1" s="4"/>
    </row>
    <row r="2" spans="1:10" ht="15.75" thickBot="1">
      <c r="A2" s="2" t="s">
        <v>71</v>
      </c>
      <c r="B2" s="1"/>
      <c r="C2" s="1"/>
      <c r="D2" s="1"/>
      <c r="E2" s="4"/>
      <c r="F2" s="4"/>
      <c r="G2" s="4"/>
      <c r="H2" s="4"/>
      <c r="I2" s="4"/>
    </row>
    <row r="3" spans="1:10" ht="15.75" thickBot="1">
      <c r="A3" s="268" t="s">
        <v>265</v>
      </c>
      <c r="B3" s="269"/>
      <c r="C3" s="1"/>
      <c r="D3" s="1"/>
      <c r="E3" s="1"/>
      <c r="F3" s="1"/>
      <c r="G3" s="1"/>
      <c r="H3" s="1"/>
      <c r="I3" s="1"/>
    </row>
    <row r="4" spans="1:10">
      <c r="A4" s="6"/>
      <c r="B4" s="1"/>
      <c r="C4" s="1"/>
      <c r="D4" s="1"/>
      <c r="E4" s="1"/>
      <c r="F4" s="1"/>
      <c r="G4" s="1"/>
      <c r="H4" s="1"/>
      <c r="I4" s="1"/>
    </row>
    <row r="5" spans="1:10">
      <c r="A5" s="2" t="s">
        <v>0</v>
      </c>
      <c r="B5" s="1"/>
      <c r="C5" s="1"/>
      <c r="D5" s="1"/>
      <c r="E5" s="1"/>
      <c r="F5" s="1"/>
      <c r="G5" s="1"/>
      <c r="H5" s="1"/>
      <c r="I5" s="1"/>
    </row>
    <row r="6" spans="1:10" ht="15.75" thickBot="1">
      <c r="A6" s="1"/>
      <c r="B6" s="3"/>
      <c r="C6" s="3"/>
      <c r="D6" s="3"/>
      <c r="E6" s="12"/>
      <c r="F6" s="12"/>
      <c r="G6" s="12"/>
      <c r="H6" s="12"/>
      <c r="I6" s="12"/>
    </row>
    <row r="7" spans="1:10" ht="25.5" thickTop="1" thickBot="1">
      <c r="A7" s="1" t="s">
        <v>1</v>
      </c>
      <c r="B7" s="38" t="s">
        <v>2</v>
      </c>
      <c r="C7" s="38" t="s">
        <v>3</v>
      </c>
      <c r="D7" s="38" t="s">
        <v>54</v>
      </c>
      <c r="E7" s="38" t="s">
        <v>52</v>
      </c>
      <c r="F7" s="38" t="s">
        <v>49</v>
      </c>
      <c r="G7" s="38" t="s">
        <v>4</v>
      </c>
      <c r="H7" s="38" t="s">
        <v>9</v>
      </c>
      <c r="I7" s="38" t="s">
        <v>50</v>
      </c>
      <c r="J7" s="38" t="s">
        <v>51</v>
      </c>
    </row>
    <row r="8" spans="1:10" ht="15.75" thickTop="1">
      <c r="A8" s="1"/>
      <c r="B8" s="1">
        <v>1298</v>
      </c>
      <c r="C8" s="1" t="s">
        <v>290</v>
      </c>
      <c r="D8" s="288"/>
      <c r="E8" s="288"/>
      <c r="F8" s="288">
        <v>0</v>
      </c>
      <c r="G8" s="288">
        <f>+F8*0.12</f>
        <v>0</v>
      </c>
      <c r="H8" s="288">
        <f>+D8+E8+F8+G8</f>
        <v>0</v>
      </c>
      <c r="I8" s="288">
        <f>+F8*10%</f>
        <v>0</v>
      </c>
      <c r="J8" s="288">
        <f>+G8*100%</f>
        <v>0</v>
      </c>
    </row>
    <row r="9" spans="1:10">
      <c r="A9" s="1"/>
      <c r="B9" s="1">
        <v>1299</v>
      </c>
      <c r="C9" s="1" t="s">
        <v>255</v>
      </c>
      <c r="D9" s="288"/>
      <c r="E9" s="288"/>
      <c r="F9" s="288">
        <v>1320</v>
      </c>
      <c r="G9" s="288">
        <f>+F9*0.12</f>
        <v>158.4</v>
      </c>
      <c r="H9" s="288">
        <f t="shared" ref="H9:H25" si="0">+D9+E9+F9+G9</f>
        <v>1478.4</v>
      </c>
      <c r="I9" s="288">
        <f>+F9*10%</f>
        <v>132</v>
      </c>
      <c r="J9" s="288">
        <f>+G9*100%</f>
        <v>158.4</v>
      </c>
    </row>
    <row r="10" spans="1:10">
      <c r="A10" s="1"/>
      <c r="B10" s="1">
        <v>1300</v>
      </c>
      <c r="C10" s="1" t="s">
        <v>255</v>
      </c>
      <c r="D10" s="288"/>
      <c r="E10" s="288"/>
      <c r="F10" s="288">
        <v>1320</v>
      </c>
      <c r="G10" s="288">
        <f t="shared" ref="G10:G25" si="1">+F10*0.12</f>
        <v>158.4</v>
      </c>
      <c r="H10" s="288">
        <f t="shared" si="0"/>
        <v>1478.4</v>
      </c>
      <c r="I10" s="290">
        <f t="shared" ref="I10:I11" si="2">+F10*0.1</f>
        <v>132</v>
      </c>
      <c r="J10" s="290">
        <f t="shared" ref="J10:J25" si="3">+G10*100/100</f>
        <v>158.4</v>
      </c>
    </row>
    <row r="11" spans="1:10">
      <c r="A11" s="1"/>
      <c r="B11" s="1">
        <v>1301</v>
      </c>
      <c r="C11" s="1" t="s">
        <v>284</v>
      </c>
      <c r="D11" s="288"/>
      <c r="E11" s="288"/>
      <c r="F11" s="288">
        <v>1444.44</v>
      </c>
      <c r="G11" s="288">
        <f t="shared" si="1"/>
        <v>173.33279999999999</v>
      </c>
      <c r="H11" s="288">
        <f t="shared" si="0"/>
        <v>1617.7728</v>
      </c>
      <c r="I11" s="288">
        <f t="shared" si="2"/>
        <v>144.44400000000002</v>
      </c>
      <c r="J11" s="288">
        <f t="shared" si="3"/>
        <v>173.33279999999999</v>
      </c>
    </row>
    <row r="12" spans="1:10">
      <c r="A12" s="1"/>
      <c r="B12" s="1">
        <v>1302</v>
      </c>
      <c r="C12" s="1" t="s">
        <v>227</v>
      </c>
      <c r="D12" s="288"/>
      <c r="E12" s="288"/>
      <c r="F12" s="288">
        <v>354.44</v>
      </c>
      <c r="G12" s="288">
        <f t="shared" si="1"/>
        <v>42.532799999999995</v>
      </c>
      <c r="H12" s="288">
        <f t="shared" si="0"/>
        <v>396.97280000000001</v>
      </c>
      <c r="I12" s="288">
        <f>+F12*10%</f>
        <v>35.444000000000003</v>
      </c>
      <c r="J12" s="288">
        <f t="shared" si="3"/>
        <v>42.532799999999995</v>
      </c>
    </row>
    <row r="13" spans="1:10">
      <c r="A13" s="1"/>
      <c r="B13" s="1">
        <v>1303</v>
      </c>
      <c r="C13" s="1" t="s">
        <v>290</v>
      </c>
      <c r="D13" s="288"/>
      <c r="E13" s="288"/>
      <c r="F13" s="288">
        <v>0</v>
      </c>
      <c r="G13" s="288">
        <f t="shared" si="1"/>
        <v>0</v>
      </c>
      <c r="H13" s="288">
        <f t="shared" si="0"/>
        <v>0</v>
      </c>
      <c r="I13" s="288">
        <f t="shared" ref="I13:I25" si="4">+F13*10%</f>
        <v>0</v>
      </c>
      <c r="J13" s="288">
        <f t="shared" si="3"/>
        <v>0</v>
      </c>
    </row>
    <row r="14" spans="1:10">
      <c r="A14" s="1"/>
      <c r="B14" s="1">
        <v>1304</v>
      </c>
      <c r="C14" s="1" t="s">
        <v>291</v>
      </c>
      <c r="D14" s="288"/>
      <c r="E14" s="288"/>
      <c r="F14" s="288">
        <v>200</v>
      </c>
      <c r="G14" s="288">
        <f t="shared" si="1"/>
        <v>24</v>
      </c>
      <c r="H14" s="288">
        <f t="shared" si="0"/>
        <v>224</v>
      </c>
      <c r="I14" s="288">
        <f t="shared" si="4"/>
        <v>20</v>
      </c>
      <c r="J14" s="288">
        <f t="shared" si="3"/>
        <v>24</v>
      </c>
    </row>
    <row r="15" spans="1:10">
      <c r="A15" s="1"/>
      <c r="B15" s="1">
        <v>1305</v>
      </c>
      <c r="C15" s="1" t="s">
        <v>291</v>
      </c>
      <c r="D15" s="288"/>
      <c r="E15" s="288"/>
      <c r="F15" s="288">
        <v>500</v>
      </c>
      <c r="G15" s="288">
        <f t="shared" si="1"/>
        <v>60</v>
      </c>
      <c r="H15" s="288">
        <f t="shared" si="0"/>
        <v>560</v>
      </c>
      <c r="I15" s="288">
        <f t="shared" si="4"/>
        <v>50</v>
      </c>
      <c r="J15" s="288">
        <f t="shared" si="3"/>
        <v>60</v>
      </c>
    </row>
    <row r="16" spans="1:10">
      <c r="A16" s="1"/>
      <c r="B16" s="1">
        <v>1306</v>
      </c>
      <c r="C16" s="1" t="s">
        <v>292</v>
      </c>
      <c r="D16" s="288"/>
      <c r="E16" s="288"/>
      <c r="F16" s="288">
        <v>100</v>
      </c>
      <c r="G16" s="288">
        <f t="shared" si="1"/>
        <v>12</v>
      </c>
      <c r="H16" s="288">
        <f t="shared" si="0"/>
        <v>112</v>
      </c>
      <c r="I16" s="288">
        <f t="shared" si="4"/>
        <v>10</v>
      </c>
      <c r="J16" s="288">
        <f t="shared" si="3"/>
        <v>12</v>
      </c>
    </row>
    <row r="17" spans="1:10">
      <c r="A17" s="1"/>
      <c r="B17" s="1">
        <v>1307</v>
      </c>
      <c r="C17" s="1" t="s">
        <v>290</v>
      </c>
      <c r="D17" s="288"/>
      <c r="E17" s="288"/>
      <c r="F17" s="288">
        <v>0</v>
      </c>
      <c r="G17" s="288">
        <f t="shared" si="1"/>
        <v>0</v>
      </c>
      <c r="H17" s="288">
        <f t="shared" si="0"/>
        <v>0</v>
      </c>
      <c r="I17" s="288">
        <f t="shared" si="4"/>
        <v>0</v>
      </c>
      <c r="J17" s="288">
        <f t="shared" si="3"/>
        <v>0</v>
      </c>
    </row>
    <row r="18" spans="1:10">
      <c r="A18" s="1"/>
      <c r="B18" s="1">
        <v>1308</v>
      </c>
      <c r="C18" s="1" t="s">
        <v>256</v>
      </c>
      <c r="D18" s="288"/>
      <c r="E18" s="288">
        <v>420</v>
      </c>
      <c r="F18" s="288"/>
      <c r="G18" s="288">
        <f t="shared" si="1"/>
        <v>0</v>
      </c>
      <c r="H18" s="288">
        <f t="shared" si="0"/>
        <v>420</v>
      </c>
      <c r="I18" s="288">
        <f t="shared" si="4"/>
        <v>0</v>
      </c>
      <c r="J18" s="288">
        <f t="shared" si="3"/>
        <v>0</v>
      </c>
    </row>
    <row r="19" spans="1:10">
      <c r="A19" s="1"/>
      <c r="B19" s="1">
        <v>1309</v>
      </c>
      <c r="C19" s="1" t="s">
        <v>293</v>
      </c>
      <c r="D19" s="288"/>
      <c r="E19" s="288">
        <v>550</v>
      </c>
      <c r="F19" s="288"/>
      <c r="G19" s="288">
        <f t="shared" si="1"/>
        <v>0</v>
      </c>
      <c r="H19" s="288">
        <f t="shared" si="0"/>
        <v>550</v>
      </c>
      <c r="I19" s="288">
        <f t="shared" si="4"/>
        <v>0</v>
      </c>
      <c r="J19" s="288">
        <f t="shared" si="3"/>
        <v>0</v>
      </c>
    </row>
    <row r="20" spans="1:10">
      <c r="A20" s="1"/>
      <c r="B20" s="1">
        <v>1310</v>
      </c>
      <c r="C20" s="1" t="s">
        <v>294</v>
      </c>
      <c r="D20" s="288"/>
      <c r="E20" s="288"/>
      <c r="F20" s="288">
        <v>240</v>
      </c>
      <c r="G20" s="288">
        <f t="shared" si="1"/>
        <v>28.799999999999997</v>
      </c>
      <c r="H20" s="288">
        <f t="shared" si="0"/>
        <v>268.8</v>
      </c>
      <c r="I20" s="288">
        <f t="shared" si="4"/>
        <v>24</v>
      </c>
      <c r="J20" s="288">
        <f t="shared" si="3"/>
        <v>28.799999999999997</v>
      </c>
    </row>
    <row r="21" spans="1:10">
      <c r="A21" s="1"/>
      <c r="B21" s="1">
        <v>1311</v>
      </c>
      <c r="C21" s="1" t="s">
        <v>294</v>
      </c>
      <c r="D21" s="288"/>
      <c r="E21" s="288"/>
      <c r="F21" s="288">
        <v>100</v>
      </c>
      <c r="G21" s="288">
        <f t="shared" si="1"/>
        <v>12</v>
      </c>
      <c r="H21" s="288">
        <f t="shared" si="0"/>
        <v>112</v>
      </c>
      <c r="I21" s="288">
        <f t="shared" si="4"/>
        <v>10</v>
      </c>
      <c r="J21" s="288">
        <f t="shared" si="3"/>
        <v>12</v>
      </c>
    </row>
    <row r="22" spans="1:10">
      <c r="A22" s="1"/>
      <c r="B22" s="1"/>
      <c r="C22" s="1"/>
      <c r="D22" s="288"/>
      <c r="E22" s="288"/>
      <c r="F22" s="288"/>
      <c r="G22" s="288">
        <f t="shared" si="1"/>
        <v>0</v>
      </c>
      <c r="H22" s="288">
        <f t="shared" si="0"/>
        <v>0</v>
      </c>
      <c r="I22" s="288">
        <f t="shared" si="4"/>
        <v>0</v>
      </c>
      <c r="J22" s="288">
        <f t="shared" si="3"/>
        <v>0</v>
      </c>
    </row>
    <row r="23" spans="1:10">
      <c r="A23" s="1"/>
      <c r="B23" s="1"/>
      <c r="C23" s="1"/>
      <c r="D23" s="288"/>
      <c r="E23" s="288"/>
      <c r="F23" s="288"/>
      <c r="G23" s="288">
        <f t="shared" si="1"/>
        <v>0</v>
      </c>
      <c r="H23" s="288">
        <f t="shared" si="0"/>
        <v>0</v>
      </c>
      <c r="I23" s="288">
        <f t="shared" si="4"/>
        <v>0</v>
      </c>
      <c r="J23" s="288">
        <f t="shared" si="3"/>
        <v>0</v>
      </c>
    </row>
    <row r="24" spans="1:10">
      <c r="A24" s="1"/>
      <c r="B24" s="1"/>
      <c r="C24" s="1"/>
      <c r="D24" s="288"/>
      <c r="E24" s="288"/>
      <c r="F24" s="288"/>
      <c r="G24" s="288">
        <f t="shared" si="1"/>
        <v>0</v>
      </c>
      <c r="H24" s="288">
        <f t="shared" si="0"/>
        <v>0</v>
      </c>
      <c r="I24" s="288">
        <f t="shared" si="4"/>
        <v>0</v>
      </c>
      <c r="J24" s="288">
        <f t="shared" si="3"/>
        <v>0</v>
      </c>
    </row>
    <row r="25" spans="1:10">
      <c r="A25" s="1"/>
      <c r="B25" s="1"/>
      <c r="C25" s="1"/>
      <c r="D25" s="288"/>
      <c r="E25" s="288"/>
      <c r="F25" s="288"/>
      <c r="G25" s="288">
        <f t="shared" si="1"/>
        <v>0</v>
      </c>
      <c r="H25" s="288">
        <f t="shared" si="0"/>
        <v>0</v>
      </c>
      <c r="I25" s="288">
        <f t="shared" si="4"/>
        <v>0</v>
      </c>
      <c r="J25" s="288">
        <f t="shared" si="3"/>
        <v>0</v>
      </c>
    </row>
    <row r="26" spans="1:10" ht="15.75" thickBot="1">
      <c r="A26" s="2"/>
      <c r="B26" s="2"/>
      <c r="C26" s="2"/>
      <c r="D26" s="8">
        <f t="shared" ref="D26:J26" si="5">SUM(D8:D25)</f>
        <v>0</v>
      </c>
      <c r="E26" s="79">
        <f t="shared" si="5"/>
        <v>970</v>
      </c>
      <c r="F26" s="79">
        <f t="shared" si="5"/>
        <v>5578.88</v>
      </c>
      <c r="G26" s="79">
        <f t="shared" si="5"/>
        <v>669.46559999999988</v>
      </c>
      <c r="H26" s="79">
        <f t="shared" si="5"/>
        <v>7218.3455999999996</v>
      </c>
      <c r="I26" s="79">
        <f t="shared" si="5"/>
        <v>557.88800000000003</v>
      </c>
      <c r="J26" s="79">
        <f t="shared" si="5"/>
        <v>669.46559999999988</v>
      </c>
    </row>
    <row r="27" spans="1:10">
      <c r="A27" s="1"/>
      <c r="B27" s="1"/>
      <c r="C27" s="1"/>
      <c r="D27" s="1"/>
      <c r="E27" s="4"/>
      <c r="F27" s="4"/>
      <c r="G27" s="1"/>
      <c r="H27" s="1"/>
      <c r="I27" s="1"/>
    </row>
    <row r="28" spans="1:10">
      <c r="A28" s="2" t="s">
        <v>6</v>
      </c>
      <c r="B28" s="1"/>
      <c r="C28" s="1"/>
      <c r="D28" s="1"/>
      <c r="E28" s="1"/>
      <c r="F28" s="1"/>
      <c r="G28" s="1"/>
      <c r="H28" s="1"/>
      <c r="I28" s="3"/>
    </row>
    <row r="29" spans="1:10" ht="15.75" thickBot="1">
      <c r="A29" s="1"/>
      <c r="B29" s="3"/>
      <c r="C29" s="3"/>
      <c r="D29" s="3"/>
      <c r="E29" s="3"/>
      <c r="F29" s="3"/>
      <c r="G29" s="3"/>
      <c r="H29" s="3"/>
      <c r="I29" s="4"/>
    </row>
    <row r="30" spans="1:10" ht="24" customHeight="1" thickTop="1" thickBot="1">
      <c r="A30" s="1" t="s">
        <v>1</v>
      </c>
      <c r="B30" s="38" t="s">
        <v>2</v>
      </c>
      <c r="C30" s="38" t="s">
        <v>3</v>
      </c>
      <c r="D30" s="38" t="s">
        <v>7</v>
      </c>
      <c r="E30" s="38" t="s">
        <v>8</v>
      </c>
      <c r="F30" s="38" t="s">
        <v>4</v>
      </c>
      <c r="G30" s="38" t="s">
        <v>5</v>
      </c>
      <c r="I30" s="4"/>
    </row>
    <row r="31" spans="1:10" ht="15.75" thickTop="1">
      <c r="A31" s="1"/>
      <c r="B31" s="184">
        <v>2634133</v>
      </c>
      <c r="C31" s="1" t="s">
        <v>295</v>
      </c>
      <c r="D31" s="290"/>
      <c r="E31" s="288">
        <v>521</v>
      </c>
      <c r="F31" s="288">
        <f>+E31*0.12</f>
        <v>62.519999999999996</v>
      </c>
      <c r="G31" s="288">
        <f>+D31+E31+F31</f>
        <v>583.52</v>
      </c>
    </row>
    <row r="32" spans="1:10">
      <c r="A32" s="1"/>
      <c r="B32" s="185">
        <v>43928</v>
      </c>
      <c r="C32" s="67" t="s">
        <v>296</v>
      </c>
      <c r="D32" s="290"/>
      <c r="E32" s="288">
        <v>17.5</v>
      </c>
      <c r="F32" s="288">
        <f t="shared" ref="F32:F36" si="6">+E32*0.12</f>
        <v>2.1</v>
      </c>
      <c r="G32" s="288">
        <f t="shared" ref="G32:G36" si="7">+D32+E32+F32</f>
        <v>19.600000000000001</v>
      </c>
      <c r="I32" s="4"/>
    </row>
    <row r="33" spans="1:9">
      <c r="A33" s="1"/>
      <c r="B33" s="185">
        <v>54972318</v>
      </c>
      <c r="C33" s="67" t="s">
        <v>249</v>
      </c>
      <c r="D33" s="290"/>
      <c r="E33" s="288">
        <v>3.55</v>
      </c>
      <c r="F33" s="288">
        <f t="shared" si="6"/>
        <v>0.42599999999999999</v>
      </c>
      <c r="G33" s="288">
        <f t="shared" si="7"/>
        <v>3.976</v>
      </c>
      <c r="I33" s="4"/>
    </row>
    <row r="34" spans="1:9">
      <c r="A34" s="1"/>
      <c r="B34" s="185"/>
      <c r="C34" s="67"/>
      <c r="D34" s="290"/>
      <c r="E34" s="288"/>
      <c r="F34" s="288">
        <f t="shared" si="6"/>
        <v>0</v>
      </c>
      <c r="G34" s="288">
        <f t="shared" si="7"/>
        <v>0</v>
      </c>
      <c r="I34" s="4"/>
    </row>
    <row r="35" spans="1:9">
      <c r="A35" s="1"/>
      <c r="B35" s="185"/>
      <c r="C35" s="67"/>
      <c r="D35" s="290"/>
      <c r="E35" s="288"/>
      <c r="F35" s="288">
        <f t="shared" si="6"/>
        <v>0</v>
      </c>
      <c r="G35" s="288">
        <f t="shared" si="7"/>
        <v>0</v>
      </c>
      <c r="I35" s="4"/>
    </row>
    <row r="36" spans="1:9">
      <c r="A36" s="1"/>
      <c r="B36" s="185"/>
      <c r="C36" s="67"/>
      <c r="D36" s="290"/>
      <c r="E36" s="288"/>
      <c r="F36" s="288">
        <f t="shared" si="6"/>
        <v>0</v>
      </c>
      <c r="G36" s="288">
        <f t="shared" si="7"/>
        <v>0</v>
      </c>
      <c r="I36" s="4"/>
    </row>
    <row r="37" spans="1:9" ht="15.75" thickBot="1">
      <c r="A37" s="2"/>
      <c r="B37" s="2"/>
      <c r="C37" s="2"/>
      <c r="D37" s="8">
        <f>SUM(D31:D36)</f>
        <v>0</v>
      </c>
      <c r="E37" s="8">
        <f>SUM(E31:E36)</f>
        <v>542.04999999999995</v>
      </c>
      <c r="F37" s="8">
        <f>SUM(F31:F36)</f>
        <v>65.045999999999992</v>
      </c>
      <c r="G37" s="8">
        <f>SUM(G31:G36)</f>
        <v>607.096</v>
      </c>
    </row>
    <row r="38" spans="1:9">
      <c r="A38" s="2"/>
      <c r="B38" s="2"/>
      <c r="C38" s="2"/>
      <c r="D38" s="2"/>
      <c r="E38" s="10"/>
      <c r="F38" s="10"/>
      <c r="G38" s="10"/>
      <c r="H38" s="10"/>
      <c r="I38" s="10"/>
    </row>
    <row r="39" spans="1:9">
      <c r="A39" s="2"/>
      <c r="B39" s="2"/>
      <c r="C39" s="2"/>
      <c r="D39" s="2"/>
      <c r="E39" s="10"/>
      <c r="F39" s="10"/>
      <c r="G39" s="10"/>
      <c r="H39" s="10"/>
      <c r="I39" s="10"/>
    </row>
    <row r="41" spans="1:9">
      <c r="A41" s="1"/>
      <c r="B41" s="1"/>
      <c r="C41" s="1" t="s">
        <v>78</v>
      </c>
      <c r="D41" s="1"/>
      <c r="E41" s="132">
        <v>401</v>
      </c>
      <c r="F41" s="11">
        <f>+F26</f>
        <v>5578.88</v>
      </c>
      <c r="G41" s="7">
        <v>0.12</v>
      </c>
      <c r="H41" s="4">
        <f>+F41*G41</f>
        <v>669.46559999999999</v>
      </c>
      <c r="I41" s="1"/>
    </row>
    <row r="42" spans="1:9">
      <c r="A42" s="1"/>
      <c r="B42" s="1"/>
      <c r="C42" s="1" t="s">
        <v>230</v>
      </c>
      <c r="D42" s="1"/>
      <c r="E42" s="132">
        <v>403</v>
      </c>
      <c r="F42" s="11">
        <f>+E26</f>
        <v>970</v>
      </c>
      <c r="G42" s="1"/>
      <c r="H42" s="4"/>
      <c r="I42" s="1"/>
    </row>
    <row r="43" spans="1:9">
      <c r="A43" s="1"/>
      <c r="B43" s="1"/>
      <c r="C43" s="1" t="s">
        <v>54</v>
      </c>
      <c r="D43" s="1"/>
      <c r="F43" s="80">
        <f>+D26</f>
        <v>0</v>
      </c>
      <c r="G43" s="7"/>
      <c r="H43" s="9"/>
      <c r="I43" s="1"/>
    </row>
    <row r="44" spans="1:9">
      <c r="A44" s="1"/>
      <c r="B44" s="1"/>
      <c r="C44" s="2" t="s">
        <v>73</v>
      </c>
      <c r="D44" s="2"/>
      <c r="E44" s="22"/>
      <c r="F44" s="81">
        <f>SUM(F41:F43)</f>
        <v>6548.88</v>
      </c>
      <c r="G44" s="5"/>
      <c r="H44" s="5">
        <f>SUM(H41:H43)</f>
        <v>669.46559999999999</v>
      </c>
      <c r="I44" s="1"/>
    </row>
    <row r="45" spans="1:9">
      <c r="A45" s="1"/>
      <c r="B45" s="1"/>
      <c r="C45" s="2"/>
      <c r="D45" s="2"/>
      <c r="E45" s="22"/>
      <c r="F45" s="81"/>
      <c r="G45" s="5"/>
      <c r="H45" s="5"/>
      <c r="I45" s="1"/>
    </row>
    <row r="46" spans="1:9">
      <c r="A46" s="1"/>
      <c r="B46" s="1"/>
      <c r="C46" s="177" t="s">
        <v>222</v>
      </c>
      <c r="D46" s="178"/>
      <c r="E46" s="179"/>
      <c r="F46" s="180">
        <f>+F41/F44</f>
        <v>0.85188307008221253</v>
      </c>
      <c r="G46" s="5"/>
      <c r="H46" s="5"/>
      <c r="I46" s="1"/>
    </row>
    <row r="47" spans="1:9">
      <c r="A47" s="1"/>
      <c r="B47" s="1"/>
      <c r="C47" s="1"/>
      <c r="D47" s="1"/>
      <c r="F47" s="4"/>
      <c r="G47" s="1"/>
      <c r="H47" s="4"/>
      <c r="I47" s="1"/>
    </row>
    <row r="48" spans="1:9">
      <c r="A48" s="1"/>
      <c r="B48" s="1"/>
      <c r="C48" s="1" t="s">
        <v>10</v>
      </c>
      <c r="D48" s="1"/>
      <c r="F48" s="4">
        <f>+D37</f>
        <v>0</v>
      </c>
      <c r="G48" s="1"/>
      <c r="H48" s="4">
        <f>+F48*0.12</f>
        <v>0</v>
      </c>
      <c r="I48" s="1"/>
    </row>
    <row r="49" spans="1:10">
      <c r="A49" s="1"/>
      <c r="B49" s="1"/>
      <c r="C49" s="1" t="s">
        <v>11</v>
      </c>
      <c r="D49" s="1"/>
      <c r="F49" s="9">
        <f>+E37</f>
        <v>542.04999999999995</v>
      </c>
      <c r="G49" s="7">
        <v>0.12</v>
      </c>
      <c r="H49" s="9">
        <f>+F49*G49</f>
        <v>65.045999999999992</v>
      </c>
      <c r="I49" s="1"/>
    </row>
    <row r="50" spans="1:10">
      <c r="A50" s="1"/>
      <c r="B50" s="1"/>
      <c r="C50" s="2" t="s">
        <v>72</v>
      </c>
      <c r="D50" s="2"/>
      <c r="E50" s="22"/>
      <c r="F50" s="5">
        <f>SUM(F48:F49)</f>
        <v>542.04999999999995</v>
      </c>
      <c r="G50" s="5"/>
      <c r="H50" s="5">
        <f>SUM(H48:H49)</f>
        <v>65.045999999999992</v>
      </c>
      <c r="I50" s="1"/>
    </row>
    <row r="51" spans="1:10">
      <c r="A51" s="1"/>
      <c r="B51" s="1"/>
      <c r="C51" s="2"/>
      <c r="D51" s="2"/>
      <c r="E51" s="22"/>
      <c r="F51" s="5"/>
      <c r="G51" s="5"/>
      <c r="H51" s="5"/>
      <c r="I51" s="1"/>
    </row>
    <row r="52" spans="1:10">
      <c r="A52" s="1"/>
      <c r="B52" s="1"/>
      <c r="C52" s="2" t="s">
        <v>223</v>
      </c>
      <c r="D52" s="1"/>
      <c r="F52" s="4"/>
      <c r="G52" s="1"/>
      <c r="H52" s="4">
        <f>+H49*F46</f>
        <v>55.411586176567589</v>
      </c>
      <c r="I52" s="1"/>
    </row>
    <row r="53" spans="1:10">
      <c r="A53" s="1"/>
      <c r="B53" s="1"/>
      <c r="C53" s="2"/>
      <c r="D53" s="1"/>
      <c r="F53" s="4"/>
      <c r="G53" s="1"/>
      <c r="H53" s="4"/>
      <c r="I53" s="1"/>
    </row>
    <row r="54" spans="1:10">
      <c r="A54" s="1"/>
      <c r="B54" s="1"/>
      <c r="C54" s="68" t="s">
        <v>70</v>
      </c>
      <c r="D54" s="1"/>
      <c r="F54" s="1"/>
      <c r="G54" s="1"/>
      <c r="H54" s="69">
        <f>+H44-H52</f>
        <v>614.05401382343246</v>
      </c>
      <c r="I54" s="1"/>
    </row>
    <row r="55" spans="1:10">
      <c r="A55" s="1"/>
      <c r="B55" s="1"/>
      <c r="C55" s="1"/>
      <c r="D55" s="1"/>
      <c r="F55" s="1"/>
      <c r="G55" s="1"/>
      <c r="H55" s="4"/>
      <c r="I55" s="1"/>
    </row>
    <row r="56" spans="1:10">
      <c r="A56" s="1"/>
      <c r="B56" s="1"/>
      <c r="C56" s="1" t="s">
        <v>13</v>
      </c>
      <c r="D56" s="1"/>
      <c r="F56" s="1"/>
      <c r="G56" s="1"/>
      <c r="H56" s="4">
        <f>-J26</f>
        <v>-669.46559999999988</v>
      </c>
      <c r="I56" s="1"/>
    </row>
    <row r="57" spans="1:10">
      <c r="A57" s="1"/>
      <c r="B57" s="1"/>
      <c r="C57" s="1"/>
      <c r="D57" s="1"/>
      <c r="F57" s="1"/>
      <c r="G57" s="1"/>
      <c r="H57" s="4"/>
      <c r="I57" s="1"/>
    </row>
    <row r="58" spans="1:10">
      <c r="A58" s="1"/>
      <c r="B58" s="1"/>
      <c r="C58" s="68" t="s">
        <v>12</v>
      </c>
      <c r="D58" s="1"/>
      <c r="F58" s="1"/>
      <c r="G58" s="1"/>
      <c r="H58" s="69">
        <f>+H54+H56</f>
        <v>-55.411586176567425</v>
      </c>
      <c r="I58" s="1"/>
    </row>
    <row r="59" spans="1:10">
      <c r="C59" s="1"/>
      <c r="D59" s="1"/>
      <c r="F59" s="1"/>
      <c r="G59" s="1"/>
      <c r="H59" s="4"/>
      <c r="I59" s="1"/>
    </row>
    <row r="60" spans="1:10" ht="15.75">
      <c r="C60" s="70" t="s">
        <v>74</v>
      </c>
      <c r="E60" s="74" t="s">
        <v>75</v>
      </c>
      <c r="F60" s="71">
        <v>605</v>
      </c>
      <c r="H60" s="72">
        <v>0</v>
      </c>
      <c r="I60" s="1"/>
    </row>
    <row r="61" spans="1:10" ht="15.75">
      <c r="C61" s="70" t="s">
        <v>74</v>
      </c>
      <c r="E61" s="74" t="s">
        <v>76</v>
      </c>
      <c r="F61" s="71">
        <v>606</v>
      </c>
      <c r="H61" s="72">
        <f>+MARZO!H64</f>
        <v>4618.5272776198099</v>
      </c>
      <c r="I61" s="1"/>
    </row>
    <row r="62" spans="1:10" ht="15.75">
      <c r="C62" s="70"/>
      <c r="F62" s="71"/>
      <c r="H62" s="73"/>
      <c r="J62" s="17"/>
    </row>
    <row r="63" spans="1:10" ht="15.75">
      <c r="C63" s="70"/>
      <c r="F63" s="71"/>
      <c r="H63" s="73"/>
      <c r="I63" s="1"/>
    </row>
    <row r="64" spans="1:10" ht="15.75">
      <c r="C64" s="70" t="s">
        <v>77</v>
      </c>
      <c r="F64" s="71">
        <v>615</v>
      </c>
      <c r="H64" s="73">
        <f>+H60</f>
        <v>0</v>
      </c>
    </row>
    <row r="65" spans="3:8" ht="15.75">
      <c r="C65" s="70" t="s">
        <v>77</v>
      </c>
      <c r="F65" s="71">
        <v>617</v>
      </c>
      <c r="H65" s="72">
        <f>+H58+H61</f>
        <v>4563.1156914432422</v>
      </c>
    </row>
  </sheetData>
  <pageMargins left="0.51181102362204722" right="0.5118110236220472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CCFF99"/>
    <pageSetUpPr fitToPage="1"/>
  </sheetPr>
  <dimension ref="A1:J65"/>
  <sheetViews>
    <sheetView topLeftCell="A10" zoomScale="80" zoomScaleNormal="80" workbookViewId="0">
      <selection activeCell="C61" sqref="C61"/>
    </sheetView>
  </sheetViews>
  <sheetFormatPr baseColWidth="10" defaultRowHeight="15"/>
  <cols>
    <col min="1" max="1" width="8.140625" customWidth="1"/>
    <col min="2" max="2" width="16.140625" customWidth="1"/>
    <col min="3" max="3" width="28.5703125" customWidth="1"/>
    <col min="4" max="4" width="12.5703125" bestFit="1" customWidth="1"/>
    <col min="5" max="5" width="11.5703125" bestFit="1" customWidth="1"/>
    <col min="6" max="6" width="12.85546875" bestFit="1" customWidth="1"/>
    <col min="7" max="7" width="11.7109375" bestFit="1" customWidth="1"/>
    <col min="8" max="8" width="12.85546875" bestFit="1" customWidth="1"/>
    <col min="9" max="9" width="11.7109375" bestFit="1" customWidth="1"/>
    <col min="10" max="10" width="14" customWidth="1"/>
  </cols>
  <sheetData>
    <row r="1" spans="1:10">
      <c r="A1" s="2"/>
      <c r="B1" s="1"/>
      <c r="C1" s="1"/>
      <c r="D1" s="1"/>
      <c r="E1" s="4"/>
      <c r="F1" s="4"/>
      <c r="G1" s="4"/>
      <c r="H1" s="4"/>
      <c r="I1" s="4"/>
    </row>
    <row r="2" spans="1:10" ht="15.75" thickBot="1">
      <c r="A2" s="2" t="s">
        <v>71</v>
      </c>
      <c r="B2" s="1"/>
      <c r="C2" s="1"/>
      <c r="D2" s="1"/>
      <c r="E2" s="4"/>
      <c r="F2" s="4"/>
      <c r="G2" s="4"/>
      <c r="H2" s="4"/>
      <c r="I2" s="4"/>
    </row>
    <row r="3" spans="1:10" ht="15.75" thickBot="1">
      <c r="A3" s="268" t="s">
        <v>266</v>
      </c>
      <c r="B3" s="269"/>
      <c r="C3" s="1"/>
      <c r="D3" s="1"/>
      <c r="E3" s="1"/>
      <c r="F3" s="1"/>
      <c r="G3" s="1"/>
      <c r="H3" s="1"/>
      <c r="I3" s="1"/>
    </row>
    <row r="4" spans="1:10">
      <c r="A4" s="6"/>
      <c r="B4" s="1"/>
      <c r="C4" s="1"/>
      <c r="D4" s="1"/>
      <c r="E4" s="1"/>
      <c r="F4" s="1"/>
      <c r="G4" s="1"/>
      <c r="H4" s="1"/>
      <c r="I4" s="1"/>
    </row>
    <row r="5" spans="1:10">
      <c r="A5" s="2" t="s">
        <v>0</v>
      </c>
      <c r="B5" s="1"/>
      <c r="C5" s="1"/>
      <c r="D5" s="1"/>
      <c r="E5" s="1"/>
      <c r="F5" s="1"/>
      <c r="G5" s="1"/>
      <c r="H5" s="1"/>
      <c r="I5" s="1"/>
    </row>
    <row r="6" spans="1:10" ht="15.75" thickBot="1">
      <c r="A6" s="1"/>
      <c r="B6" s="3"/>
      <c r="C6" s="3"/>
      <c r="D6" s="3"/>
      <c r="E6" s="12"/>
      <c r="F6" s="12"/>
      <c r="G6" s="12"/>
      <c r="H6" s="12"/>
      <c r="I6" s="12"/>
    </row>
    <row r="7" spans="1:10" ht="25.5" thickTop="1" thickBot="1">
      <c r="A7" s="1" t="s">
        <v>1</v>
      </c>
      <c r="B7" s="38" t="s">
        <v>2</v>
      </c>
      <c r="C7" s="38" t="s">
        <v>3</v>
      </c>
      <c r="D7" s="38" t="s">
        <v>54</v>
      </c>
      <c r="E7" s="38" t="s">
        <v>52</v>
      </c>
      <c r="F7" s="38" t="s">
        <v>49</v>
      </c>
      <c r="G7" s="38" t="s">
        <v>4</v>
      </c>
      <c r="H7" s="38" t="s">
        <v>9</v>
      </c>
      <c r="I7" s="38" t="s">
        <v>50</v>
      </c>
      <c r="J7" s="38" t="s">
        <v>51</v>
      </c>
    </row>
    <row r="8" spans="1:10" ht="15.75" thickTop="1">
      <c r="A8" s="1"/>
      <c r="B8" s="205">
        <v>1312</v>
      </c>
      <c r="C8" s="1" t="s">
        <v>229</v>
      </c>
      <c r="D8" s="292"/>
      <c r="E8" s="292"/>
      <c r="F8" s="292">
        <v>555.55999999999995</v>
      </c>
      <c r="G8" s="292">
        <f>+F8*0.12</f>
        <v>66.667199999999994</v>
      </c>
      <c r="H8" s="292">
        <f>+D8+E8+F8+G8</f>
        <v>622.22719999999993</v>
      </c>
      <c r="I8" s="288">
        <f>+F8*10%</f>
        <v>55.555999999999997</v>
      </c>
      <c r="J8" s="288">
        <f>+G8*100%</f>
        <v>66.667199999999994</v>
      </c>
    </row>
    <row r="9" spans="1:10">
      <c r="A9" s="1"/>
      <c r="B9" s="205">
        <v>1313</v>
      </c>
      <c r="C9" s="205" t="s">
        <v>287</v>
      </c>
      <c r="D9" s="292"/>
      <c r="E9" s="292"/>
      <c r="F9" s="292">
        <v>100</v>
      </c>
      <c r="G9" s="292">
        <f t="shared" ref="G9:G25" si="0">+F9*0.12</f>
        <v>12</v>
      </c>
      <c r="H9" s="292">
        <f t="shared" ref="H9:H25" si="1">+D9+E9+F9+G9</f>
        <v>112</v>
      </c>
      <c r="I9" s="288">
        <f t="shared" ref="I9:I25" si="2">+F9*10%</f>
        <v>10</v>
      </c>
      <c r="J9" s="288">
        <f t="shared" ref="J9:J25" si="3">+G9*100%</f>
        <v>12</v>
      </c>
    </row>
    <row r="10" spans="1:10">
      <c r="A10" s="1"/>
      <c r="B10" s="205">
        <v>1314</v>
      </c>
      <c r="C10" s="205" t="s">
        <v>291</v>
      </c>
      <c r="D10" s="292"/>
      <c r="E10" s="292"/>
      <c r="F10" s="292">
        <v>200</v>
      </c>
      <c r="G10" s="292">
        <f t="shared" si="0"/>
        <v>24</v>
      </c>
      <c r="H10" s="292">
        <f t="shared" si="1"/>
        <v>224</v>
      </c>
      <c r="I10" s="288">
        <f t="shared" si="2"/>
        <v>20</v>
      </c>
      <c r="J10" s="288">
        <f t="shared" si="3"/>
        <v>24</v>
      </c>
    </row>
    <row r="11" spans="1:10">
      <c r="A11" s="1"/>
      <c r="B11" s="205">
        <v>1315</v>
      </c>
      <c r="C11" s="205" t="s">
        <v>255</v>
      </c>
      <c r="D11" s="292"/>
      <c r="E11" s="292"/>
      <c r="F11" s="292">
        <v>1320</v>
      </c>
      <c r="G11" s="292">
        <f t="shared" si="0"/>
        <v>158.4</v>
      </c>
      <c r="H11" s="292">
        <f t="shared" si="1"/>
        <v>1478.4</v>
      </c>
      <c r="I11" s="288">
        <f t="shared" si="2"/>
        <v>132</v>
      </c>
      <c r="J11" s="288">
        <f t="shared" si="3"/>
        <v>158.4</v>
      </c>
    </row>
    <row r="12" spans="1:10">
      <c r="A12" s="1"/>
      <c r="B12" s="205">
        <v>1316</v>
      </c>
      <c r="C12" s="205" t="s">
        <v>284</v>
      </c>
      <c r="D12" s="292"/>
      <c r="E12" s="292"/>
      <c r="F12" s="292">
        <v>1444.44</v>
      </c>
      <c r="G12" s="292">
        <f t="shared" si="0"/>
        <v>173.33279999999999</v>
      </c>
      <c r="H12" s="292">
        <f t="shared" si="1"/>
        <v>1617.7728</v>
      </c>
      <c r="I12" s="288">
        <f t="shared" si="2"/>
        <v>144.44400000000002</v>
      </c>
      <c r="J12" s="288">
        <f t="shared" si="3"/>
        <v>173.33279999999999</v>
      </c>
    </row>
    <row r="13" spans="1:10">
      <c r="A13" s="1"/>
      <c r="B13" s="205">
        <v>1317</v>
      </c>
      <c r="C13" s="205" t="s">
        <v>227</v>
      </c>
      <c r="D13" s="292"/>
      <c r="E13" s="292"/>
      <c r="F13" s="292">
        <v>354.44</v>
      </c>
      <c r="G13" s="292">
        <f t="shared" si="0"/>
        <v>42.532799999999995</v>
      </c>
      <c r="H13" s="292">
        <f t="shared" si="1"/>
        <v>396.97280000000001</v>
      </c>
      <c r="I13" s="288">
        <f t="shared" si="2"/>
        <v>35.444000000000003</v>
      </c>
      <c r="J13" s="288">
        <f t="shared" si="3"/>
        <v>42.532799999999995</v>
      </c>
    </row>
    <row r="14" spans="1:10">
      <c r="A14" s="1"/>
      <c r="B14" s="205">
        <v>1318</v>
      </c>
      <c r="C14" s="205" t="s">
        <v>250</v>
      </c>
      <c r="D14" s="292"/>
      <c r="E14" s="292"/>
      <c r="F14" s="292">
        <v>491.99</v>
      </c>
      <c r="G14" s="292">
        <f t="shared" si="0"/>
        <v>59.038800000000002</v>
      </c>
      <c r="H14" s="292">
        <f t="shared" si="1"/>
        <v>551.02880000000005</v>
      </c>
      <c r="I14" s="288">
        <f t="shared" si="2"/>
        <v>49.199000000000005</v>
      </c>
      <c r="J14" s="288">
        <f t="shared" si="3"/>
        <v>59.038800000000002</v>
      </c>
    </row>
    <row r="15" spans="1:10">
      <c r="A15" s="1"/>
      <c r="B15" s="205">
        <v>1319</v>
      </c>
      <c r="C15" s="205" t="s">
        <v>250</v>
      </c>
      <c r="D15" s="292"/>
      <c r="E15" s="292"/>
      <c r="F15" s="292">
        <v>491.99</v>
      </c>
      <c r="G15" s="292">
        <f t="shared" si="0"/>
        <v>59.038800000000002</v>
      </c>
      <c r="H15" s="292">
        <f t="shared" si="1"/>
        <v>551.02880000000005</v>
      </c>
      <c r="I15" s="288">
        <f t="shared" si="2"/>
        <v>49.199000000000005</v>
      </c>
      <c r="J15" s="288">
        <f t="shared" si="3"/>
        <v>59.038800000000002</v>
      </c>
    </row>
    <row r="16" spans="1:10">
      <c r="A16" s="1"/>
      <c r="B16" s="205">
        <v>1320</v>
      </c>
      <c r="C16" s="205" t="s">
        <v>257</v>
      </c>
      <c r="D16" s="292"/>
      <c r="E16" s="292">
        <v>550</v>
      </c>
      <c r="F16" s="292"/>
      <c r="G16" s="292">
        <f t="shared" si="0"/>
        <v>0</v>
      </c>
      <c r="H16" s="292">
        <f t="shared" si="1"/>
        <v>550</v>
      </c>
      <c r="I16" s="288">
        <f t="shared" si="2"/>
        <v>0</v>
      </c>
      <c r="J16" s="288">
        <f t="shared" si="3"/>
        <v>0</v>
      </c>
    </row>
    <row r="17" spans="1:10">
      <c r="A17" s="1"/>
      <c r="B17" s="205">
        <v>1321</v>
      </c>
      <c r="C17" s="205" t="s">
        <v>256</v>
      </c>
      <c r="D17" s="292"/>
      <c r="E17" s="292">
        <v>420</v>
      </c>
      <c r="F17" s="292"/>
      <c r="G17" s="292">
        <f t="shared" si="0"/>
        <v>0</v>
      </c>
      <c r="H17" s="292">
        <f t="shared" si="1"/>
        <v>420</v>
      </c>
      <c r="I17" s="288">
        <f t="shared" si="2"/>
        <v>0</v>
      </c>
      <c r="J17" s="288">
        <f t="shared" si="3"/>
        <v>0</v>
      </c>
    </row>
    <row r="18" spans="1:10">
      <c r="A18" s="1"/>
      <c r="B18" s="205">
        <v>1322</v>
      </c>
      <c r="C18" s="205" t="s">
        <v>229</v>
      </c>
      <c r="D18" s="292"/>
      <c r="E18" s="292"/>
      <c r="F18" s="292">
        <v>555.55999999999995</v>
      </c>
      <c r="G18" s="292">
        <f t="shared" si="0"/>
        <v>66.667199999999994</v>
      </c>
      <c r="H18" s="292">
        <f t="shared" si="1"/>
        <v>622.22719999999993</v>
      </c>
      <c r="I18" s="288">
        <f t="shared" si="2"/>
        <v>55.555999999999997</v>
      </c>
      <c r="J18" s="288">
        <f t="shared" si="3"/>
        <v>66.667199999999994</v>
      </c>
    </row>
    <row r="19" spans="1:10">
      <c r="A19" s="1"/>
      <c r="B19" s="205">
        <v>1323</v>
      </c>
      <c r="C19" s="205" t="s">
        <v>290</v>
      </c>
      <c r="D19" s="292"/>
      <c r="E19" s="292"/>
      <c r="F19" s="292"/>
      <c r="G19" s="292">
        <f t="shared" si="0"/>
        <v>0</v>
      </c>
      <c r="H19" s="292">
        <f t="shared" si="1"/>
        <v>0</v>
      </c>
      <c r="I19" s="288">
        <f t="shared" si="2"/>
        <v>0</v>
      </c>
      <c r="J19" s="288">
        <f t="shared" si="3"/>
        <v>0</v>
      </c>
    </row>
    <row r="20" spans="1:10">
      <c r="A20" s="1"/>
      <c r="B20" s="205">
        <v>1324</v>
      </c>
      <c r="C20" s="205" t="s">
        <v>298</v>
      </c>
      <c r="D20" s="292"/>
      <c r="E20" s="292"/>
      <c r="F20" s="292">
        <v>45000</v>
      </c>
      <c r="G20" s="292">
        <f t="shared" si="0"/>
        <v>5400</v>
      </c>
      <c r="H20" s="292">
        <f t="shared" si="1"/>
        <v>50400</v>
      </c>
      <c r="I20" s="288">
        <f t="shared" si="2"/>
        <v>4500</v>
      </c>
      <c r="J20" s="288">
        <f t="shared" si="3"/>
        <v>5400</v>
      </c>
    </row>
    <row r="21" spans="1:10">
      <c r="A21" s="1"/>
      <c r="B21" s="205">
        <v>1325</v>
      </c>
      <c r="C21" s="205" t="s">
        <v>298</v>
      </c>
      <c r="D21" s="292"/>
      <c r="E21" s="292"/>
      <c r="F21" s="292">
        <v>666.67</v>
      </c>
      <c r="G21" s="292">
        <f t="shared" si="0"/>
        <v>80.000399999999999</v>
      </c>
      <c r="H21" s="292">
        <f t="shared" si="1"/>
        <v>746.67039999999997</v>
      </c>
      <c r="I21" s="288">
        <f t="shared" si="2"/>
        <v>66.667000000000002</v>
      </c>
      <c r="J21" s="288">
        <f t="shared" si="3"/>
        <v>80.000399999999999</v>
      </c>
    </row>
    <row r="22" spans="1:10">
      <c r="A22" s="1"/>
      <c r="B22" s="205"/>
      <c r="C22" s="205"/>
      <c r="D22" s="292"/>
      <c r="E22" s="292"/>
      <c r="F22" s="292"/>
      <c r="G22" s="292">
        <f t="shared" si="0"/>
        <v>0</v>
      </c>
      <c r="H22" s="292">
        <f t="shared" si="1"/>
        <v>0</v>
      </c>
      <c r="I22" s="288">
        <f t="shared" si="2"/>
        <v>0</v>
      </c>
      <c r="J22" s="288">
        <f t="shared" si="3"/>
        <v>0</v>
      </c>
    </row>
    <row r="23" spans="1:10">
      <c r="A23" s="1"/>
      <c r="B23" s="205"/>
      <c r="C23" s="205"/>
      <c r="D23" s="292"/>
      <c r="E23" s="292"/>
      <c r="F23" s="292"/>
      <c r="G23" s="292">
        <f t="shared" si="0"/>
        <v>0</v>
      </c>
      <c r="H23" s="292">
        <f t="shared" si="1"/>
        <v>0</v>
      </c>
      <c r="I23" s="288">
        <f t="shared" si="2"/>
        <v>0</v>
      </c>
      <c r="J23" s="288">
        <f t="shared" si="3"/>
        <v>0</v>
      </c>
    </row>
    <row r="24" spans="1:10">
      <c r="A24" s="1"/>
      <c r="B24" s="205"/>
      <c r="C24" s="205"/>
      <c r="D24" s="292"/>
      <c r="E24" s="292"/>
      <c r="F24" s="292"/>
      <c r="G24" s="292">
        <f t="shared" si="0"/>
        <v>0</v>
      </c>
      <c r="H24" s="292">
        <f t="shared" si="1"/>
        <v>0</v>
      </c>
      <c r="I24" s="288">
        <f t="shared" si="2"/>
        <v>0</v>
      </c>
      <c r="J24" s="288">
        <f t="shared" si="3"/>
        <v>0</v>
      </c>
    </row>
    <row r="25" spans="1:10">
      <c r="A25" s="1"/>
      <c r="B25" s="205"/>
      <c r="C25" s="205"/>
      <c r="D25" s="292"/>
      <c r="E25" s="292"/>
      <c r="F25" s="292"/>
      <c r="G25" s="292">
        <f t="shared" si="0"/>
        <v>0</v>
      </c>
      <c r="H25" s="292">
        <f t="shared" si="1"/>
        <v>0</v>
      </c>
      <c r="I25" s="288">
        <f t="shared" si="2"/>
        <v>0</v>
      </c>
      <c r="J25" s="288">
        <f t="shared" si="3"/>
        <v>0</v>
      </c>
    </row>
    <row r="26" spans="1:10" ht="15.75" thickBot="1">
      <c r="A26" s="2"/>
      <c r="B26" s="2"/>
      <c r="C26" s="2"/>
      <c r="D26" s="79">
        <f t="shared" ref="D26:J26" si="4">SUM(D8:D25)</f>
        <v>0</v>
      </c>
      <c r="E26" s="79">
        <f t="shared" si="4"/>
        <v>970</v>
      </c>
      <c r="F26" s="79">
        <f t="shared" si="4"/>
        <v>51180.649999999994</v>
      </c>
      <c r="G26" s="79">
        <f t="shared" si="4"/>
        <v>6141.6779999999999</v>
      </c>
      <c r="H26" s="79">
        <f t="shared" si="4"/>
        <v>58292.328000000001</v>
      </c>
      <c r="I26" s="79">
        <f t="shared" si="4"/>
        <v>5118.0650000000005</v>
      </c>
      <c r="J26" s="79">
        <f t="shared" si="4"/>
        <v>6141.6779999999999</v>
      </c>
    </row>
    <row r="27" spans="1:10">
      <c r="A27" s="1"/>
      <c r="B27" s="1"/>
      <c r="C27" s="1"/>
      <c r="D27" s="1"/>
      <c r="E27" s="4"/>
      <c r="F27" s="4"/>
      <c r="G27" s="1"/>
      <c r="H27" s="1"/>
      <c r="I27" s="1"/>
    </row>
    <row r="28" spans="1:10">
      <c r="A28" s="2" t="s">
        <v>6</v>
      </c>
      <c r="B28" s="1"/>
      <c r="C28" s="1"/>
      <c r="D28" s="1"/>
      <c r="E28" s="1"/>
      <c r="F28" s="1"/>
      <c r="G28" s="1"/>
      <c r="H28" s="1"/>
      <c r="I28" s="3"/>
    </row>
    <row r="29" spans="1:10" ht="15.75" thickBot="1">
      <c r="A29" s="1"/>
      <c r="B29" s="3"/>
      <c r="C29" s="3"/>
      <c r="D29" s="3"/>
      <c r="E29" s="3"/>
      <c r="F29" s="3"/>
      <c r="G29" s="3"/>
      <c r="H29" s="3"/>
      <c r="I29" s="4"/>
    </row>
    <row r="30" spans="1:10" ht="24" customHeight="1" thickTop="1" thickBot="1">
      <c r="A30" s="1" t="s">
        <v>1</v>
      </c>
      <c r="B30" s="38" t="s">
        <v>2</v>
      </c>
      <c r="C30" s="38" t="s">
        <v>3</v>
      </c>
      <c r="D30" s="38" t="s">
        <v>7</v>
      </c>
      <c r="E30" s="38" t="s">
        <v>8</v>
      </c>
      <c r="F30" s="38" t="s">
        <v>4</v>
      </c>
      <c r="G30" s="38" t="s">
        <v>5</v>
      </c>
      <c r="I30" s="4"/>
    </row>
    <row r="31" spans="1:10" ht="15.75" thickTop="1">
      <c r="A31" s="1"/>
      <c r="B31" s="278">
        <v>205060013</v>
      </c>
      <c r="C31" s="67" t="s">
        <v>299</v>
      </c>
      <c r="D31" s="290"/>
      <c r="E31" s="290">
        <v>20.05</v>
      </c>
      <c r="F31" s="288">
        <f>+E31*0.12</f>
        <v>2.4060000000000001</v>
      </c>
      <c r="G31" s="288">
        <f>+D31+E31+F31</f>
        <v>22.456</v>
      </c>
    </row>
    <row r="32" spans="1:10">
      <c r="A32" s="1"/>
      <c r="B32" s="185">
        <v>177847</v>
      </c>
      <c r="C32" s="67" t="s">
        <v>300</v>
      </c>
      <c r="D32" s="290"/>
      <c r="E32" s="290">
        <v>17.63</v>
      </c>
      <c r="F32" s="288">
        <f t="shared" ref="F32:F35" si="5">+E32*0.12</f>
        <v>2.1155999999999997</v>
      </c>
      <c r="G32" s="288">
        <f t="shared" ref="G32:G35" si="6">+D32+E32+F32</f>
        <v>19.7456</v>
      </c>
      <c r="I32" s="4"/>
    </row>
    <row r="33" spans="1:9">
      <c r="A33" s="1"/>
      <c r="B33" s="185"/>
      <c r="C33" s="67"/>
      <c r="D33" s="290"/>
      <c r="E33" s="290"/>
      <c r="F33" s="288">
        <f t="shared" si="5"/>
        <v>0</v>
      </c>
      <c r="G33" s="288">
        <f t="shared" si="6"/>
        <v>0</v>
      </c>
      <c r="I33" s="4"/>
    </row>
    <row r="34" spans="1:9">
      <c r="A34" s="1"/>
      <c r="B34" s="185"/>
      <c r="C34" s="67"/>
      <c r="D34" s="290"/>
      <c r="E34" s="290"/>
      <c r="F34" s="288">
        <f t="shared" si="5"/>
        <v>0</v>
      </c>
      <c r="G34" s="288">
        <f t="shared" si="6"/>
        <v>0</v>
      </c>
      <c r="I34" s="4"/>
    </row>
    <row r="35" spans="1:9">
      <c r="A35" s="1"/>
      <c r="B35" s="185"/>
      <c r="C35" s="67"/>
      <c r="D35" s="290"/>
      <c r="E35" s="290"/>
      <c r="F35" s="288">
        <f t="shared" si="5"/>
        <v>0</v>
      </c>
      <c r="G35" s="288">
        <f t="shared" si="6"/>
        <v>0</v>
      </c>
      <c r="I35" s="4"/>
    </row>
    <row r="36" spans="1:9" ht="15.75" thickBot="1">
      <c r="A36" s="2"/>
      <c r="B36" s="206"/>
      <c r="C36" s="2"/>
      <c r="D36" s="8">
        <f>SUM(D31:D35)</f>
        <v>0</v>
      </c>
      <c r="E36" s="8">
        <f>SUM(E31:E35)</f>
        <v>37.68</v>
      </c>
      <c r="F36" s="8">
        <f>SUM(F31:F35)</f>
        <v>4.5215999999999994</v>
      </c>
      <c r="G36" s="8">
        <f>SUM(G31:G35)</f>
        <v>42.201599999999999</v>
      </c>
    </row>
    <row r="37" spans="1:9">
      <c r="A37" s="2"/>
      <c r="B37" s="2"/>
      <c r="C37" s="2"/>
      <c r="D37" s="2"/>
      <c r="E37" s="10"/>
      <c r="F37" s="10"/>
      <c r="G37" s="10"/>
      <c r="H37" s="10"/>
      <c r="I37" s="10"/>
    </row>
    <row r="38" spans="1:9">
      <c r="A38" s="2"/>
      <c r="B38" s="2"/>
      <c r="C38" s="2"/>
      <c r="D38" s="2"/>
      <c r="E38" s="10"/>
      <c r="F38" s="10"/>
      <c r="G38" s="10"/>
      <c r="H38" s="10"/>
      <c r="I38" s="10"/>
    </row>
    <row r="40" spans="1:9">
      <c r="A40" s="1"/>
      <c r="B40" s="1"/>
      <c r="C40" s="1" t="s">
        <v>78</v>
      </c>
      <c r="D40" s="1"/>
      <c r="E40" s="22">
        <v>401</v>
      </c>
      <c r="F40" s="11">
        <f>+F26</f>
        <v>51180.649999999994</v>
      </c>
      <c r="G40" s="7">
        <v>0.12</v>
      </c>
      <c r="H40" s="11">
        <f>+F40*G40</f>
        <v>6141.677999999999</v>
      </c>
      <c r="I40" s="11"/>
    </row>
    <row r="41" spans="1:9">
      <c r="A41" s="1"/>
      <c r="B41" s="1"/>
      <c r="C41" s="1" t="s">
        <v>42</v>
      </c>
      <c r="D41" s="1"/>
      <c r="F41" s="11">
        <f>+E26</f>
        <v>970</v>
      </c>
      <c r="G41" s="7"/>
      <c r="H41" s="11"/>
      <c r="I41" s="11"/>
    </row>
    <row r="42" spans="1:9">
      <c r="A42" s="1"/>
      <c r="B42" s="1"/>
      <c r="C42" s="1" t="s">
        <v>54</v>
      </c>
      <c r="D42" s="1"/>
      <c r="F42" s="80">
        <f>+D26</f>
        <v>0</v>
      </c>
      <c r="G42" s="7"/>
      <c r="H42" s="80"/>
      <c r="I42" s="11"/>
    </row>
    <row r="43" spans="1:9">
      <c r="A43" s="1"/>
      <c r="B43" s="1"/>
      <c r="C43" s="2" t="s">
        <v>73</v>
      </c>
      <c r="D43" s="2"/>
      <c r="E43" s="22"/>
      <c r="F43" s="81">
        <f>SUM(F40:F42)</f>
        <v>52150.649999999994</v>
      </c>
      <c r="G43" s="207"/>
      <c r="H43" s="81">
        <f>SUM(H40:H42)</f>
        <v>6141.677999999999</v>
      </c>
      <c r="I43" s="11"/>
    </row>
    <row r="44" spans="1:9">
      <c r="A44" s="1"/>
      <c r="B44" s="1"/>
      <c r="C44" s="2"/>
      <c r="D44" s="2"/>
      <c r="E44" s="22"/>
      <c r="F44" s="81"/>
      <c r="G44" s="207"/>
      <c r="H44" s="81"/>
      <c r="I44" s="11"/>
    </row>
    <row r="45" spans="1:9">
      <c r="A45" s="1"/>
      <c r="B45" s="1"/>
      <c r="C45" s="177" t="s">
        <v>222</v>
      </c>
      <c r="D45" s="178"/>
      <c r="E45" s="179"/>
      <c r="F45" s="180">
        <f>+F40/F43</f>
        <v>0.9814000400762023</v>
      </c>
      <c r="G45" s="207"/>
      <c r="H45" s="81"/>
      <c r="I45" s="11"/>
    </row>
    <row r="46" spans="1:9">
      <c r="A46" s="1"/>
      <c r="B46" s="1"/>
      <c r="C46" s="1"/>
      <c r="D46" s="1"/>
      <c r="F46" s="11"/>
      <c r="G46" s="7"/>
      <c r="H46" s="11"/>
      <c r="I46" s="11"/>
    </row>
    <row r="47" spans="1:9">
      <c r="A47" s="1"/>
      <c r="B47" s="1"/>
      <c r="C47" s="1" t="s">
        <v>10</v>
      </c>
      <c r="D47" s="1"/>
      <c r="F47" s="11">
        <f>+D36</f>
        <v>0</v>
      </c>
      <c r="G47" s="7"/>
      <c r="H47" s="11"/>
      <c r="I47" s="11"/>
    </row>
    <row r="48" spans="1:9">
      <c r="A48" s="1"/>
      <c r="B48" s="1"/>
      <c r="C48" s="1" t="s">
        <v>11</v>
      </c>
      <c r="D48" s="1"/>
      <c r="F48" s="80">
        <f>+E36</f>
        <v>37.68</v>
      </c>
      <c r="G48" s="7">
        <v>0.12</v>
      </c>
      <c r="H48" s="80">
        <f>+F48*G48</f>
        <v>4.5215999999999994</v>
      </c>
      <c r="I48" s="11"/>
    </row>
    <row r="49" spans="1:10">
      <c r="A49" s="1"/>
      <c r="B49" s="1"/>
      <c r="C49" s="2" t="s">
        <v>72</v>
      </c>
      <c r="D49" s="2"/>
      <c r="E49" s="22"/>
      <c r="F49" s="81">
        <f>SUM(F47:F48)</f>
        <v>37.68</v>
      </c>
      <c r="G49" s="81"/>
      <c r="H49" s="208">
        <f>SUM(H47:H48)</f>
        <v>4.5215999999999994</v>
      </c>
      <c r="I49" s="11"/>
    </row>
    <row r="50" spans="1:10">
      <c r="A50" s="1"/>
      <c r="B50" s="1"/>
      <c r="C50" s="2"/>
      <c r="D50" s="2"/>
      <c r="E50" s="22"/>
      <c r="F50" s="81"/>
      <c r="G50" s="81"/>
      <c r="H50" s="81"/>
      <c r="I50" s="11"/>
    </row>
    <row r="51" spans="1:10">
      <c r="A51" s="1"/>
      <c r="B51" s="1"/>
      <c r="C51" s="2" t="s">
        <v>223</v>
      </c>
      <c r="D51" s="1"/>
      <c r="F51" s="4"/>
      <c r="G51" s="1"/>
      <c r="H51" s="5">
        <f>+H48*F45</f>
        <v>4.4374984212085558</v>
      </c>
      <c r="I51" s="11"/>
    </row>
    <row r="52" spans="1:10">
      <c r="A52" s="1"/>
      <c r="B52" s="1"/>
      <c r="C52" s="1"/>
      <c r="D52" s="1"/>
      <c r="F52" s="11"/>
      <c r="G52" s="11"/>
      <c r="H52" s="11"/>
      <c r="I52" s="11"/>
    </row>
    <row r="53" spans="1:10">
      <c r="A53" s="1"/>
      <c r="B53" s="1"/>
      <c r="C53" s="68" t="s">
        <v>70</v>
      </c>
      <c r="D53" s="1"/>
      <c r="F53" s="11"/>
      <c r="G53" s="11"/>
      <c r="H53" s="84">
        <f>+H43-H51</f>
        <v>6137.2405015787908</v>
      </c>
      <c r="I53" s="11"/>
    </row>
    <row r="54" spans="1:10">
      <c r="A54" s="1"/>
      <c r="B54" s="1"/>
      <c r="C54" s="1"/>
      <c r="D54" s="1"/>
      <c r="F54" s="11"/>
      <c r="G54" s="11"/>
      <c r="H54" s="11"/>
      <c r="I54" s="11"/>
    </row>
    <row r="55" spans="1:10">
      <c r="A55" s="1"/>
      <c r="B55" s="1"/>
      <c r="C55" s="1" t="s">
        <v>13</v>
      </c>
      <c r="D55" s="1"/>
      <c r="F55" s="11"/>
      <c r="G55" s="11"/>
      <c r="H55" s="11">
        <f>-J26</f>
        <v>-6141.6779999999999</v>
      </c>
      <c r="I55" s="11"/>
    </row>
    <row r="56" spans="1:10">
      <c r="A56" s="1"/>
      <c r="B56" s="1"/>
      <c r="C56" s="1"/>
      <c r="D56" s="1"/>
      <c r="F56" s="11"/>
      <c r="G56" s="11"/>
      <c r="H56" s="11"/>
      <c r="I56" s="11"/>
    </row>
    <row r="57" spans="1:10">
      <c r="A57" s="1"/>
      <c r="B57" s="1"/>
      <c r="C57" s="68" t="s">
        <v>12</v>
      </c>
      <c r="D57" s="1"/>
      <c r="F57" s="11"/>
      <c r="G57" s="11"/>
      <c r="H57" s="84">
        <f>+H53+H55</f>
        <v>-4.4374984212090567</v>
      </c>
      <c r="I57" s="11"/>
    </row>
    <row r="58" spans="1:10">
      <c r="C58" s="1"/>
      <c r="D58" s="1"/>
      <c r="F58" s="11"/>
      <c r="G58" s="11"/>
      <c r="H58" s="11"/>
      <c r="I58" s="11"/>
    </row>
    <row r="59" spans="1:10" ht="15.75">
      <c r="C59" s="70" t="s">
        <v>74</v>
      </c>
      <c r="E59" s="74" t="s">
        <v>75</v>
      </c>
      <c r="F59" s="71">
        <v>605</v>
      </c>
      <c r="H59" s="72">
        <f>+ABRIL!H64</f>
        <v>0</v>
      </c>
      <c r="I59" s="1"/>
    </row>
    <row r="60" spans="1:10" ht="15.75">
      <c r="C60" s="70" t="s">
        <v>74</v>
      </c>
      <c r="E60" s="74" t="s">
        <v>76</v>
      </c>
      <c r="F60" s="71">
        <v>607</v>
      </c>
      <c r="H60" s="72">
        <v>4500</v>
      </c>
      <c r="I60" s="1"/>
    </row>
    <row r="61" spans="1:10" ht="15.75">
      <c r="C61" s="70"/>
      <c r="F61" s="71"/>
      <c r="H61" s="73"/>
      <c r="J61" s="17"/>
    </row>
    <row r="62" spans="1:10" ht="15.75">
      <c r="C62" s="70"/>
      <c r="F62" s="71"/>
      <c r="H62" s="73"/>
      <c r="I62" s="1"/>
    </row>
    <row r="63" spans="1:10" ht="15.75">
      <c r="C63" s="70" t="s">
        <v>77</v>
      </c>
      <c r="F63" s="71">
        <v>615</v>
      </c>
      <c r="H63" s="73">
        <f>+H59</f>
        <v>0</v>
      </c>
    </row>
    <row r="64" spans="1:10" ht="15.75">
      <c r="C64" s="70" t="s">
        <v>77</v>
      </c>
      <c r="F64" s="71">
        <v>617</v>
      </c>
      <c r="H64" s="72">
        <f>+H57+H60</f>
        <v>4495.5625015787909</v>
      </c>
    </row>
    <row r="65" spans="8:8">
      <c r="H65" s="83"/>
    </row>
  </sheetData>
  <pageMargins left="0.51181102362204722" right="0.51181102362204722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7" tint="0.39997558519241921"/>
    <pageSetUpPr fitToPage="1"/>
  </sheetPr>
  <dimension ref="A1:J66"/>
  <sheetViews>
    <sheetView topLeftCell="A36" workbookViewId="0">
      <selection activeCell="H34" sqref="H34"/>
    </sheetView>
  </sheetViews>
  <sheetFormatPr baseColWidth="10" defaultRowHeight="15"/>
  <cols>
    <col min="1" max="1" width="8.140625" customWidth="1"/>
    <col min="2" max="2" width="16.140625" customWidth="1"/>
    <col min="3" max="3" width="28.5703125" customWidth="1"/>
    <col min="4" max="4" width="12.5703125" bestFit="1" customWidth="1"/>
    <col min="10" max="10" width="14" customWidth="1"/>
  </cols>
  <sheetData>
    <row r="1" spans="1:10">
      <c r="A1" s="2"/>
      <c r="B1" s="1"/>
      <c r="C1" s="1"/>
      <c r="D1" s="1"/>
      <c r="E1" s="4"/>
      <c r="F1" s="4"/>
      <c r="G1" s="4"/>
      <c r="H1" s="4"/>
      <c r="I1" s="4"/>
    </row>
    <row r="2" spans="1:10" ht="15.75" thickBot="1">
      <c r="A2" s="2" t="s">
        <v>71</v>
      </c>
      <c r="B2" s="1"/>
      <c r="C2" s="1"/>
      <c r="D2" s="1"/>
      <c r="E2" s="4"/>
      <c r="F2" s="4"/>
      <c r="G2" s="4"/>
      <c r="H2" s="4"/>
      <c r="I2" s="4"/>
    </row>
    <row r="3" spans="1:10" ht="15.75" thickBot="1">
      <c r="A3" s="268" t="s">
        <v>267</v>
      </c>
      <c r="B3" s="269"/>
      <c r="C3" s="1"/>
      <c r="D3" s="1"/>
      <c r="E3" s="1"/>
      <c r="F3" s="1"/>
      <c r="G3" s="1"/>
      <c r="H3" s="1"/>
      <c r="I3" s="1"/>
    </row>
    <row r="4" spans="1:10">
      <c r="A4" s="6"/>
      <c r="B4" s="1"/>
      <c r="C4" s="1"/>
      <c r="D4" s="1"/>
      <c r="E4" s="1"/>
      <c r="F4" s="1"/>
      <c r="G4" s="1"/>
      <c r="H4" s="1"/>
      <c r="I4" s="1"/>
    </row>
    <row r="5" spans="1:10">
      <c r="A5" s="2" t="s">
        <v>0</v>
      </c>
      <c r="B5" s="1"/>
      <c r="C5" s="1"/>
      <c r="D5" s="1"/>
      <c r="E5" s="1"/>
      <c r="F5" s="1"/>
      <c r="G5" s="1"/>
      <c r="H5" s="1"/>
      <c r="I5" s="1"/>
    </row>
    <row r="6" spans="1:10" ht="15.75" thickBot="1">
      <c r="A6" s="1"/>
      <c r="B6" s="3"/>
      <c r="C6" s="3"/>
      <c r="D6" s="3"/>
      <c r="E6" s="12"/>
      <c r="F6" s="12"/>
      <c r="G6" s="12"/>
      <c r="H6" s="12"/>
      <c r="I6" s="12"/>
    </row>
    <row r="7" spans="1:10" ht="25.5" thickTop="1" thickBot="1">
      <c r="A7" s="1" t="s">
        <v>1</v>
      </c>
      <c r="B7" s="38" t="s">
        <v>2</v>
      </c>
      <c r="C7" s="38" t="s">
        <v>3</v>
      </c>
      <c r="D7" s="38" t="s">
        <v>54</v>
      </c>
      <c r="E7" s="38" t="s">
        <v>52</v>
      </c>
      <c r="F7" s="38" t="s">
        <v>49</v>
      </c>
      <c r="G7" s="38" t="s">
        <v>4</v>
      </c>
      <c r="H7" s="38" t="s">
        <v>9</v>
      </c>
      <c r="I7" s="38" t="s">
        <v>50</v>
      </c>
      <c r="J7" s="38" t="s">
        <v>51</v>
      </c>
    </row>
    <row r="8" spans="1:10" ht="15.75" thickTop="1">
      <c r="A8" s="1"/>
      <c r="B8" s="205">
        <v>1326</v>
      </c>
      <c r="C8" s="205" t="s">
        <v>284</v>
      </c>
      <c r="D8" s="292"/>
      <c r="E8" s="292"/>
      <c r="F8" s="292">
        <v>1444.44</v>
      </c>
      <c r="G8" s="288">
        <f>+F8*0.12</f>
        <v>173.33279999999999</v>
      </c>
      <c r="H8" s="288">
        <f>+D8+E8+F8+G8</f>
        <v>1617.7728</v>
      </c>
      <c r="I8" s="288">
        <f>+F8/100*10</f>
        <v>144.44399999999999</v>
      </c>
      <c r="J8" s="288">
        <f>+G8/100*100</f>
        <v>173.33279999999999</v>
      </c>
    </row>
    <row r="9" spans="1:10">
      <c r="A9" s="1"/>
      <c r="B9" s="205">
        <v>1327</v>
      </c>
      <c r="C9" s="205" t="s">
        <v>255</v>
      </c>
      <c r="D9" s="292"/>
      <c r="E9" s="292"/>
      <c r="F9" s="292">
        <v>1320</v>
      </c>
      <c r="G9" s="288">
        <f t="shared" ref="G9:G23" si="0">+F9*0.12</f>
        <v>158.4</v>
      </c>
      <c r="H9" s="288">
        <f t="shared" ref="H9:H23" si="1">+D9+E9+F9+G9</f>
        <v>1478.4</v>
      </c>
      <c r="I9" s="288">
        <f t="shared" ref="I9:I23" si="2">+F9/100*10</f>
        <v>132</v>
      </c>
      <c r="J9" s="288">
        <f t="shared" ref="J9:J23" si="3">+G9/100*100</f>
        <v>158.4</v>
      </c>
    </row>
    <row r="10" spans="1:10">
      <c r="A10" s="1"/>
      <c r="B10" s="205">
        <v>1328</v>
      </c>
      <c r="C10" s="205" t="s">
        <v>227</v>
      </c>
      <c r="D10" s="292"/>
      <c r="E10" s="292"/>
      <c r="F10" s="292">
        <v>354.44</v>
      </c>
      <c r="G10" s="288">
        <f t="shared" si="0"/>
        <v>42.532799999999995</v>
      </c>
      <c r="H10" s="288">
        <f t="shared" si="1"/>
        <v>396.97280000000001</v>
      </c>
      <c r="I10" s="288">
        <f t="shared" si="2"/>
        <v>35.444000000000003</v>
      </c>
      <c r="J10" s="288">
        <f t="shared" si="3"/>
        <v>42.532799999999995</v>
      </c>
    </row>
    <row r="11" spans="1:10">
      <c r="A11" s="1"/>
      <c r="B11" s="205">
        <v>1329</v>
      </c>
      <c r="C11" s="205" t="s">
        <v>250</v>
      </c>
      <c r="D11" s="292"/>
      <c r="E11" s="292"/>
      <c r="F11" s="292">
        <v>491.99</v>
      </c>
      <c r="G11" s="288">
        <f t="shared" si="0"/>
        <v>59.038800000000002</v>
      </c>
      <c r="H11" s="288">
        <f t="shared" si="1"/>
        <v>551.02880000000005</v>
      </c>
      <c r="I11" s="288">
        <f t="shared" si="2"/>
        <v>49.198999999999998</v>
      </c>
      <c r="J11" s="288">
        <f t="shared" si="3"/>
        <v>59.038800000000002</v>
      </c>
    </row>
    <row r="12" spans="1:10">
      <c r="A12" s="1"/>
      <c r="B12" s="205">
        <v>1330</v>
      </c>
      <c r="C12" s="205" t="s">
        <v>291</v>
      </c>
      <c r="D12" s="292"/>
      <c r="E12" s="292"/>
      <c r="F12" s="292">
        <v>200</v>
      </c>
      <c r="G12" s="288">
        <f t="shared" si="0"/>
        <v>24</v>
      </c>
      <c r="H12" s="288">
        <f t="shared" si="1"/>
        <v>224</v>
      </c>
      <c r="I12" s="288">
        <f t="shared" si="2"/>
        <v>20</v>
      </c>
      <c r="J12" s="288">
        <f t="shared" si="3"/>
        <v>24</v>
      </c>
    </row>
    <row r="13" spans="1:10">
      <c r="A13" s="1"/>
      <c r="B13" s="205">
        <v>1331</v>
      </c>
      <c r="C13" s="205" t="s">
        <v>279</v>
      </c>
      <c r="D13" s="292"/>
      <c r="E13" s="292"/>
      <c r="F13" s="292">
        <v>100</v>
      </c>
      <c r="G13" s="288">
        <f t="shared" si="0"/>
        <v>12</v>
      </c>
      <c r="H13" s="288">
        <f t="shared" si="1"/>
        <v>112</v>
      </c>
      <c r="I13" s="288">
        <f t="shared" si="2"/>
        <v>10</v>
      </c>
      <c r="J13" s="288">
        <f t="shared" si="3"/>
        <v>12</v>
      </c>
    </row>
    <row r="14" spans="1:10">
      <c r="A14" s="1"/>
      <c r="B14" s="205">
        <v>1332</v>
      </c>
      <c r="C14" s="205" t="s">
        <v>307</v>
      </c>
      <c r="D14" s="292"/>
      <c r="E14" s="292"/>
      <c r="F14" s="292">
        <v>40</v>
      </c>
      <c r="G14" s="288">
        <f t="shared" si="0"/>
        <v>4.8</v>
      </c>
      <c r="H14" s="288">
        <f t="shared" si="1"/>
        <v>44.8</v>
      </c>
      <c r="I14" s="288">
        <f t="shared" si="2"/>
        <v>4</v>
      </c>
      <c r="J14" s="288">
        <f t="shared" si="3"/>
        <v>4.8</v>
      </c>
    </row>
    <row r="15" spans="1:10">
      <c r="A15" s="1"/>
      <c r="B15" s="205">
        <v>1333</v>
      </c>
      <c r="C15" s="205" t="s">
        <v>301</v>
      </c>
      <c r="D15" s="292"/>
      <c r="E15" s="292">
        <v>420</v>
      </c>
      <c r="F15" s="292"/>
      <c r="G15" s="288">
        <f t="shared" si="0"/>
        <v>0</v>
      </c>
      <c r="H15" s="288">
        <f t="shared" si="1"/>
        <v>420</v>
      </c>
      <c r="I15" s="288">
        <f t="shared" si="2"/>
        <v>0</v>
      </c>
      <c r="J15" s="288">
        <f t="shared" si="3"/>
        <v>0</v>
      </c>
    </row>
    <row r="16" spans="1:10">
      <c r="A16" s="1"/>
      <c r="B16" s="205">
        <v>1334</v>
      </c>
      <c r="C16" s="205" t="s">
        <v>302</v>
      </c>
      <c r="D16" s="292"/>
      <c r="E16" s="292"/>
      <c r="F16" s="292">
        <v>488.89</v>
      </c>
      <c r="G16" s="288">
        <f t="shared" si="0"/>
        <v>58.666799999999995</v>
      </c>
      <c r="H16" s="288">
        <f t="shared" si="1"/>
        <v>547.55679999999995</v>
      </c>
      <c r="I16" s="288">
        <f t="shared" si="2"/>
        <v>48.888999999999996</v>
      </c>
      <c r="J16" s="288">
        <f t="shared" si="3"/>
        <v>58.666799999999995</v>
      </c>
    </row>
    <row r="17" spans="1:10">
      <c r="A17" s="1"/>
      <c r="B17" s="205">
        <v>1335</v>
      </c>
      <c r="C17" s="205" t="s">
        <v>302</v>
      </c>
      <c r="D17" s="292"/>
      <c r="E17" s="292"/>
      <c r="F17" s="292">
        <v>122.23</v>
      </c>
      <c r="G17" s="288">
        <f t="shared" si="0"/>
        <v>14.6676</v>
      </c>
      <c r="H17" s="288">
        <f t="shared" si="1"/>
        <v>136.89760000000001</v>
      </c>
      <c r="I17" s="288">
        <f t="shared" si="2"/>
        <v>12.222999999999999</v>
      </c>
      <c r="J17" s="288">
        <f t="shared" si="3"/>
        <v>14.6676</v>
      </c>
    </row>
    <row r="18" spans="1:10">
      <c r="A18" s="1"/>
      <c r="B18" s="205">
        <v>1336</v>
      </c>
      <c r="C18" s="205" t="s">
        <v>290</v>
      </c>
      <c r="D18" s="292"/>
      <c r="E18" s="292"/>
      <c r="F18" s="292">
        <v>0</v>
      </c>
      <c r="G18" s="288">
        <f t="shared" si="0"/>
        <v>0</v>
      </c>
      <c r="H18" s="288">
        <f t="shared" si="1"/>
        <v>0</v>
      </c>
      <c r="I18" s="288">
        <f t="shared" si="2"/>
        <v>0</v>
      </c>
      <c r="J18" s="288">
        <f t="shared" si="3"/>
        <v>0</v>
      </c>
    </row>
    <row r="19" spans="1:10">
      <c r="A19" s="1"/>
      <c r="B19" s="205">
        <v>1337</v>
      </c>
      <c r="C19" s="205" t="s">
        <v>303</v>
      </c>
      <c r="D19" s="292"/>
      <c r="E19" s="292"/>
      <c r="F19" s="292">
        <v>611.11</v>
      </c>
      <c r="G19" s="288">
        <f t="shared" si="0"/>
        <v>73.333200000000005</v>
      </c>
      <c r="H19" s="288">
        <f t="shared" si="1"/>
        <v>684.44320000000005</v>
      </c>
      <c r="I19" s="288">
        <f t="shared" si="2"/>
        <v>61.111000000000004</v>
      </c>
      <c r="J19" s="288">
        <f t="shared" si="3"/>
        <v>73.333200000000005</v>
      </c>
    </row>
    <row r="20" spans="1:10">
      <c r="A20" s="1"/>
      <c r="B20" s="205"/>
      <c r="C20" s="205"/>
      <c r="D20" s="292"/>
      <c r="E20" s="292"/>
      <c r="F20" s="292"/>
      <c r="G20" s="288">
        <f t="shared" si="0"/>
        <v>0</v>
      </c>
      <c r="H20" s="288">
        <f t="shared" si="1"/>
        <v>0</v>
      </c>
      <c r="I20" s="288">
        <f t="shared" si="2"/>
        <v>0</v>
      </c>
      <c r="J20" s="288">
        <f t="shared" si="3"/>
        <v>0</v>
      </c>
    </row>
    <row r="21" spans="1:10">
      <c r="A21" s="1"/>
      <c r="B21" s="205"/>
      <c r="C21" s="205"/>
      <c r="D21" s="292"/>
      <c r="E21" s="292"/>
      <c r="F21" s="292"/>
      <c r="G21" s="288">
        <f t="shared" si="0"/>
        <v>0</v>
      </c>
      <c r="H21" s="288">
        <f t="shared" si="1"/>
        <v>0</v>
      </c>
      <c r="I21" s="288">
        <f t="shared" si="2"/>
        <v>0</v>
      </c>
      <c r="J21" s="288">
        <f t="shared" si="3"/>
        <v>0</v>
      </c>
    </row>
    <row r="22" spans="1:10">
      <c r="A22" s="1"/>
      <c r="B22" s="205"/>
      <c r="C22" s="205"/>
      <c r="D22" s="292"/>
      <c r="E22" s="292"/>
      <c r="F22" s="292"/>
      <c r="G22" s="288">
        <f t="shared" si="0"/>
        <v>0</v>
      </c>
      <c r="H22" s="288">
        <f t="shared" si="1"/>
        <v>0</v>
      </c>
      <c r="I22" s="288">
        <f t="shared" si="2"/>
        <v>0</v>
      </c>
      <c r="J22" s="288">
        <f t="shared" si="3"/>
        <v>0</v>
      </c>
    </row>
    <row r="23" spans="1:10">
      <c r="A23" s="1"/>
      <c r="B23" s="205"/>
      <c r="C23" s="205"/>
      <c r="D23" s="292"/>
      <c r="E23" s="292"/>
      <c r="F23" s="292"/>
      <c r="G23" s="288">
        <f t="shared" si="0"/>
        <v>0</v>
      </c>
      <c r="H23" s="288">
        <f t="shared" si="1"/>
        <v>0</v>
      </c>
      <c r="I23" s="288">
        <f t="shared" si="2"/>
        <v>0</v>
      </c>
      <c r="J23" s="288">
        <f t="shared" si="3"/>
        <v>0</v>
      </c>
    </row>
    <row r="24" spans="1:10" ht="15.75" thickBot="1">
      <c r="A24" s="2"/>
      <c r="B24" s="2"/>
      <c r="C24" s="2"/>
      <c r="D24" s="79">
        <f t="shared" ref="D24:H24" si="4">SUM(D8:D23)</f>
        <v>0</v>
      </c>
      <c r="E24" s="79">
        <f t="shared" si="4"/>
        <v>420</v>
      </c>
      <c r="F24" s="79">
        <f t="shared" si="4"/>
        <v>5173.0999999999995</v>
      </c>
      <c r="G24" s="79">
        <f t="shared" si="4"/>
        <v>620.77200000000005</v>
      </c>
      <c r="H24" s="79">
        <f t="shared" si="4"/>
        <v>6213.8720000000003</v>
      </c>
      <c r="I24" s="79">
        <f>SUM(I8:I23)</f>
        <v>517.31000000000006</v>
      </c>
      <c r="J24" s="79">
        <f>SUM(J8:J23)</f>
        <v>620.77200000000005</v>
      </c>
    </row>
    <row r="25" spans="1:10">
      <c r="A25" s="1"/>
      <c r="B25" s="1"/>
      <c r="C25" s="1"/>
      <c r="D25" s="1"/>
      <c r="E25" s="4"/>
      <c r="F25" s="4"/>
      <c r="G25" s="1"/>
      <c r="H25" s="1"/>
      <c r="I25" s="1"/>
    </row>
    <row r="26" spans="1:10">
      <c r="A26" s="2" t="s">
        <v>6</v>
      </c>
      <c r="B26" s="1"/>
      <c r="C26" s="1"/>
      <c r="D26" s="1"/>
      <c r="E26" s="1"/>
      <c r="F26" s="1"/>
      <c r="G26" s="1"/>
      <c r="H26" s="1"/>
      <c r="I26" s="3"/>
    </row>
    <row r="27" spans="1:10" ht="15.75" thickBot="1">
      <c r="A27" s="1"/>
      <c r="B27" s="3"/>
      <c r="C27" s="3"/>
      <c r="D27" s="3"/>
      <c r="E27" s="3"/>
      <c r="F27" s="3"/>
      <c r="G27" s="3"/>
      <c r="H27" s="3"/>
      <c r="I27" s="4"/>
    </row>
    <row r="28" spans="1:10" ht="16.5" thickTop="1" thickBot="1">
      <c r="A28" s="1" t="s">
        <v>1</v>
      </c>
      <c r="B28" s="38" t="s">
        <v>2</v>
      </c>
      <c r="C28" s="38" t="s">
        <v>3</v>
      </c>
      <c r="D28" s="38" t="s">
        <v>7</v>
      </c>
      <c r="E28" s="38" t="s">
        <v>8</v>
      </c>
      <c r="F28" s="38" t="s">
        <v>4</v>
      </c>
      <c r="G28" s="38" t="s">
        <v>5</v>
      </c>
      <c r="I28" s="4"/>
    </row>
    <row r="29" spans="1:10" ht="15.75" thickTop="1">
      <c r="A29" s="1"/>
      <c r="B29" s="13">
        <v>192135</v>
      </c>
      <c r="C29" s="13" t="s">
        <v>304</v>
      </c>
      <c r="D29" s="30"/>
      <c r="E29" s="290">
        <v>16.75</v>
      </c>
      <c r="F29" s="288">
        <f>+E29*0.12</f>
        <v>2.0099999999999998</v>
      </c>
      <c r="G29" s="288">
        <f>+D29+E29+F29</f>
        <v>18.759999999999998</v>
      </c>
    </row>
    <row r="30" spans="1:10">
      <c r="A30" s="1"/>
      <c r="B30" s="13">
        <v>918649</v>
      </c>
      <c r="C30" s="67" t="s">
        <v>305</v>
      </c>
      <c r="D30" s="30"/>
      <c r="E30" s="290">
        <v>18.059999999999999</v>
      </c>
      <c r="F30" s="288">
        <f t="shared" ref="F30:F37" si="5">+E30*0.12</f>
        <v>2.1671999999999998</v>
      </c>
      <c r="G30" s="288">
        <f t="shared" ref="G30:G37" si="6">+D30+E30+F30</f>
        <v>20.2272</v>
      </c>
    </row>
    <row r="31" spans="1:10">
      <c r="A31" s="1"/>
      <c r="B31" s="13">
        <v>57762</v>
      </c>
      <c r="C31" s="67" t="s">
        <v>306</v>
      </c>
      <c r="D31" s="30"/>
      <c r="E31" s="290">
        <v>5.36</v>
      </c>
      <c r="F31" s="288">
        <f t="shared" si="5"/>
        <v>0.64319999999999999</v>
      </c>
      <c r="G31" s="288">
        <f t="shared" si="6"/>
        <v>6.0032000000000005</v>
      </c>
    </row>
    <row r="32" spans="1:10">
      <c r="A32" s="1"/>
      <c r="B32" s="13"/>
      <c r="C32" s="67" t="s">
        <v>308</v>
      </c>
      <c r="D32" s="30"/>
      <c r="E32" s="290">
        <v>6850</v>
      </c>
      <c r="F32" s="288">
        <f t="shared" si="5"/>
        <v>822</v>
      </c>
      <c r="G32" s="288">
        <f t="shared" si="6"/>
        <v>7672</v>
      </c>
      <c r="H32" t="s">
        <v>309</v>
      </c>
    </row>
    <row r="33" spans="1:9">
      <c r="A33" s="1"/>
      <c r="B33" s="13"/>
      <c r="C33" s="67"/>
      <c r="D33" s="30"/>
      <c r="E33" s="290"/>
      <c r="F33" s="288">
        <f t="shared" si="5"/>
        <v>0</v>
      </c>
      <c r="G33" s="288">
        <f t="shared" si="6"/>
        <v>0</v>
      </c>
    </row>
    <row r="34" spans="1:9" ht="14.25" customHeight="1">
      <c r="A34" s="1"/>
      <c r="B34" s="13"/>
      <c r="C34" s="67"/>
      <c r="D34" s="30"/>
      <c r="E34" s="290"/>
      <c r="F34" s="288">
        <f t="shared" si="5"/>
        <v>0</v>
      </c>
      <c r="G34" s="288">
        <f t="shared" si="6"/>
        <v>0</v>
      </c>
      <c r="I34" s="4"/>
    </row>
    <row r="35" spans="1:9">
      <c r="A35" s="1"/>
      <c r="B35" s="13"/>
      <c r="C35" s="67"/>
      <c r="D35" s="30"/>
      <c r="E35" s="290"/>
      <c r="F35" s="288">
        <f t="shared" si="5"/>
        <v>0</v>
      </c>
      <c r="G35" s="288">
        <f t="shared" si="6"/>
        <v>0</v>
      </c>
      <c r="I35" s="4"/>
    </row>
    <row r="36" spans="1:9">
      <c r="A36" s="1"/>
      <c r="B36" s="13"/>
      <c r="C36" s="67"/>
      <c r="D36" s="30"/>
      <c r="E36" s="290"/>
      <c r="F36" s="288">
        <f t="shared" si="5"/>
        <v>0</v>
      </c>
      <c r="G36" s="288">
        <f t="shared" si="6"/>
        <v>0</v>
      </c>
      <c r="I36" s="4"/>
    </row>
    <row r="37" spans="1:9">
      <c r="A37" s="1"/>
      <c r="B37" s="13"/>
      <c r="C37" s="67"/>
      <c r="D37" s="30"/>
      <c r="E37" s="290"/>
      <c r="F37" s="288">
        <f t="shared" si="5"/>
        <v>0</v>
      </c>
      <c r="G37" s="288">
        <f t="shared" si="6"/>
        <v>0</v>
      </c>
      <c r="I37" s="4"/>
    </row>
    <row r="38" spans="1:9" ht="15.75" thickBot="1">
      <c r="A38" s="2"/>
      <c r="B38" s="2"/>
      <c r="C38" s="2"/>
      <c r="D38" s="8">
        <f>SUM(D29:D37)</f>
        <v>0</v>
      </c>
      <c r="E38" s="79">
        <f>SUM(E29:E37)</f>
        <v>6890.17</v>
      </c>
      <c r="F38" s="79">
        <f>SUM(F29:F37)</f>
        <v>826.82039999999995</v>
      </c>
      <c r="G38" s="79">
        <f>SUM(G29:G37)</f>
        <v>7716.9903999999997</v>
      </c>
    </row>
    <row r="39" spans="1:9">
      <c r="A39" s="2"/>
      <c r="B39" s="2"/>
      <c r="C39" s="2"/>
      <c r="D39" s="2"/>
      <c r="E39" s="10"/>
      <c r="F39" s="10"/>
      <c r="G39" s="10"/>
      <c r="H39" s="10"/>
      <c r="I39" s="10"/>
    </row>
    <row r="40" spans="1:9">
      <c r="A40" s="2"/>
      <c r="B40" s="2"/>
      <c r="C40" s="2"/>
      <c r="D40" s="2"/>
      <c r="E40" s="10"/>
      <c r="F40" s="10"/>
      <c r="G40" s="10"/>
      <c r="H40" s="10"/>
      <c r="I40" s="10"/>
    </row>
    <row r="42" spans="1:9">
      <c r="A42" s="1"/>
      <c r="B42" s="1"/>
      <c r="C42" s="1" t="s">
        <v>78</v>
      </c>
      <c r="D42" s="1"/>
      <c r="E42" s="132">
        <v>401</v>
      </c>
      <c r="F42" s="72">
        <f>+F24</f>
        <v>5173.0999999999995</v>
      </c>
      <c r="G42" s="7">
        <v>0.12</v>
      </c>
      <c r="H42" s="4">
        <f>+F42*G42</f>
        <v>620.77199999999993</v>
      </c>
      <c r="I42" s="1"/>
    </row>
    <row r="43" spans="1:9">
      <c r="A43" s="1"/>
      <c r="B43" s="1"/>
      <c r="C43" s="1" t="s">
        <v>42</v>
      </c>
      <c r="D43" s="1"/>
      <c r="F43" s="72">
        <f>+E24</f>
        <v>420</v>
      </c>
      <c r="G43" s="1"/>
      <c r="H43" s="4"/>
      <c r="I43" s="1"/>
    </row>
    <row r="44" spans="1:9">
      <c r="A44" s="1"/>
      <c r="B44" s="1"/>
      <c r="C44" s="1" t="s">
        <v>54</v>
      </c>
      <c r="D44" s="1"/>
      <c r="F44" s="274">
        <f>+D24</f>
        <v>0</v>
      </c>
      <c r="G44" s="7"/>
      <c r="H44" s="9"/>
      <c r="I44" s="1"/>
    </row>
    <row r="45" spans="1:9">
      <c r="A45" s="1"/>
      <c r="B45" s="1"/>
      <c r="C45" s="2" t="s">
        <v>73</v>
      </c>
      <c r="D45" s="2"/>
      <c r="E45" s="22"/>
      <c r="F45" s="275">
        <f>SUM(F42:F44)</f>
        <v>5593.0999999999995</v>
      </c>
      <c r="G45" s="5"/>
      <c r="H45" s="5">
        <f>SUM(H42:H44)</f>
        <v>620.77199999999993</v>
      </c>
      <c r="I45" s="1"/>
    </row>
    <row r="46" spans="1:9">
      <c r="A46" s="1"/>
      <c r="B46" s="1"/>
      <c r="C46" s="2"/>
      <c r="D46" s="2"/>
      <c r="E46" s="22"/>
      <c r="F46" s="275"/>
      <c r="G46" s="5"/>
      <c r="H46" s="5"/>
      <c r="I46" s="1"/>
    </row>
    <row r="47" spans="1:9">
      <c r="A47" s="1"/>
      <c r="B47" s="1"/>
      <c r="C47" s="177" t="s">
        <v>222</v>
      </c>
      <c r="D47" s="178"/>
      <c r="E47" s="179"/>
      <c r="F47" s="276">
        <f>+F42/F45</f>
        <v>0.92490747528204398</v>
      </c>
      <c r="G47" s="5"/>
      <c r="H47" s="5"/>
      <c r="I47" s="1"/>
    </row>
    <row r="48" spans="1:9">
      <c r="A48" s="1"/>
      <c r="B48" s="1"/>
      <c r="C48" s="1"/>
      <c r="D48" s="1"/>
      <c r="F48" s="72"/>
      <c r="G48" s="1"/>
      <c r="H48" s="4"/>
      <c r="I48" s="1"/>
    </row>
    <row r="49" spans="1:10">
      <c r="A49" s="1"/>
      <c r="B49" s="1"/>
      <c r="C49" s="1" t="s">
        <v>10</v>
      </c>
      <c r="D49" s="1"/>
      <c r="F49" s="72">
        <f>+D38</f>
        <v>0</v>
      </c>
      <c r="G49" s="1"/>
      <c r="H49" s="4">
        <f>+F49*0.12</f>
        <v>0</v>
      </c>
      <c r="I49" s="1"/>
    </row>
    <row r="50" spans="1:10">
      <c r="A50" s="1"/>
      <c r="B50" s="1"/>
      <c r="C50" s="1" t="s">
        <v>11</v>
      </c>
      <c r="D50" s="1"/>
      <c r="F50" s="274">
        <f>+E38</f>
        <v>6890.17</v>
      </c>
      <c r="G50" s="7">
        <v>0.12</v>
      </c>
      <c r="H50" s="9">
        <f>+F50*G50</f>
        <v>826.82039999999995</v>
      </c>
      <c r="I50" s="1"/>
    </row>
    <row r="51" spans="1:10">
      <c r="A51" s="1"/>
      <c r="B51" s="1"/>
      <c r="C51" s="2" t="s">
        <v>72</v>
      </c>
      <c r="D51" s="2"/>
      <c r="E51" s="22"/>
      <c r="F51" s="275">
        <f>SUM(F49:F50)</f>
        <v>6890.17</v>
      </c>
      <c r="G51" s="5"/>
      <c r="H51" s="5">
        <f>SUM(H49:H50)</f>
        <v>826.82039999999995</v>
      </c>
      <c r="I51" s="1"/>
    </row>
    <row r="52" spans="1:10">
      <c r="A52" s="1"/>
      <c r="B52" s="1"/>
      <c r="C52" s="1"/>
      <c r="D52" s="1"/>
      <c r="F52" s="4"/>
      <c r="G52" s="1"/>
      <c r="H52" s="4"/>
      <c r="I52" s="1"/>
    </row>
    <row r="53" spans="1:10">
      <c r="A53" s="1"/>
      <c r="B53" s="1"/>
      <c r="C53" s="2" t="s">
        <v>223</v>
      </c>
      <c r="D53" s="1"/>
      <c r="F53" s="4"/>
      <c r="G53" s="1"/>
      <c r="H53" s="5">
        <f>+H50*F47</f>
        <v>764.73236867568971</v>
      </c>
      <c r="I53" s="1"/>
    </row>
    <row r="54" spans="1:10">
      <c r="A54" s="1"/>
      <c r="B54" s="1"/>
      <c r="C54" s="1"/>
      <c r="D54" s="1"/>
      <c r="F54" s="4"/>
      <c r="G54" s="1"/>
      <c r="H54" s="4"/>
      <c r="I54" s="1"/>
    </row>
    <row r="55" spans="1:10">
      <c r="A55" s="1"/>
      <c r="B55" s="1"/>
      <c r="C55" s="68" t="s">
        <v>70</v>
      </c>
      <c r="D55" s="1"/>
      <c r="F55" s="1"/>
      <c r="G55" s="1"/>
      <c r="H55" s="69">
        <f>+H45-H53</f>
        <v>-143.96036867568978</v>
      </c>
      <c r="I55" s="1"/>
    </row>
    <row r="56" spans="1:10">
      <c r="A56" s="1"/>
      <c r="B56" s="1"/>
      <c r="C56" s="1"/>
      <c r="D56" s="1"/>
      <c r="F56" s="1"/>
      <c r="G56" s="1"/>
      <c r="H56" s="4"/>
      <c r="I56" s="1"/>
    </row>
    <row r="57" spans="1:10">
      <c r="A57" s="1"/>
      <c r="B57" s="1"/>
      <c r="C57" s="1" t="s">
        <v>13</v>
      </c>
      <c r="D57" s="1"/>
      <c r="F57" s="1"/>
      <c r="G57" s="1"/>
      <c r="H57" s="4">
        <f>-J24</f>
        <v>-620.77200000000005</v>
      </c>
      <c r="I57" s="1"/>
    </row>
    <row r="58" spans="1:10">
      <c r="A58" s="1"/>
      <c r="B58" s="1"/>
      <c r="C58" s="1"/>
      <c r="D58" s="1"/>
      <c r="F58" s="1"/>
      <c r="G58" s="1"/>
      <c r="H58" s="4"/>
      <c r="I58" s="1"/>
    </row>
    <row r="59" spans="1:10">
      <c r="A59" s="1"/>
      <c r="B59" s="1"/>
      <c r="C59" s="68" t="s">
        <v>12</v>
      </c>
      <c r="D59" s="1"/>
      <c r="F59" s="1"/>
      <c r="G59" s="1"/>
      <c r="H59" s="69">
        <f>+H55+H57</f>
        <v>-764.73236867568983</v>
      </c>
      <c r="I59" s="1"/>
    </row>
    <row r="60" spans="1:10">
      <c r="C60" s="1"/>
      <c r="D60" s="1"/>
      <c r="F60" s="1"/>
      <c r="G60" s="1"/>
      <c r="H60" s="4"/>
      <c r="I60" s="1"/>
    </row>
    <row r="61" spans="1:10" ht="15.75">
      <c r="C61" s="70" t="s">
        <v>74</v>
      </c>
      <c r="E61" s="74" t="s">
        <v>75</v>
      </c>
      <c r="F61" s="71">
        <v>605</v>
      </c>
      <c r="H61" s="72">
        <f>+MAYO!H63</f>
        <v>0</v>
      </c>
      <c r="I61" s="1"/>
    </row>
    <row r="62" spans="1:10" ht="15.75">
      <c r="C62" s="70" t="s">
        <v>74</v>
      </c>
      <c r="E62" s="74" t="s">
        <v>76</v>
      </c>
      <c r="F62" s="71">
        <v>606</v>
      </c>
      <c r="H62" s="72">
        <f>+MAYO!H64</f>
        <v>4495.5625015787909</v>
      </c>
      <c r="I62" s="1"/>
    </row>
    <row r="63" spans="1:10" ht="15.75">
      <c r="C63" s="70"/>
      <c r="F63" s="71"/>
      <c r="H63" s="73"/>
      <c r="J63" s="17"/>
    </row>
    <row r="64" spans="1:10" ht="15.75">
      <c r="C64" s="70"/>
      <c r="F64" s="71"/>
      <c r="H64" s="73"/>
      <c r="I64" s="1"/>
    </row>
    <row r="65" spans="3:8" ht="15.75">
      <c r="C65" s="70" t="s">
        <v>77</v>
      </c>
      <c r="F65" s="71">
        <v>615</v>
      </c>
      <c r="H65" s="73">
        <f>+H55+H61</f>
        <v>-143.96036867568978</v>
      </c>
    </row>
    <row r="66" spans="3:8" ht="15.75">
      <c r="C66" s="70" t="s">
        <v>77</v>
      </c>
      <c r="F66" s="71">
        <v>617</v>
      </c>
      <c r="H66" s="72">
        <f>+H57+H62+0.01</f>
        <v>3874.8005015787912</v>
      </c>
    </row>
  </sheetData>
  <pageMargins left="0.51181102362204722" right="0.51181102362204722" top="0.74803149606299213" bottom="0.74803149606299213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CCFF99"/>
    <pageSetUpPr fitToPage="1"/>
  </sheetPr>
  <dimension ref="A1:J65"/>
  <sheetViews>
    <sheetView topLeftCell="A11" zoomScaleNormal="100" workbookViewId="0">
      <selection activeCell="L25" sqref="L25"/>
    </sheetView>
  </sheetViews>
  <sheetFormatPr baseColWidth="10" defaultRowHeight="15"/>
  <cols>
    <col min="1" max="1" width="8.140625" customWidth="1"/>
    <col min="2" max="2" width="16.140625" customWidth="1"/>
    <col min="3" max="3" width="28.5703125" customWidth="1"/>
    <col min="4" max="4" width="12.5703125" bestFit="1" customWidth="1"/>
    <col min="10" max="10" width="14" customWidth="1"/>
  </cols>
  <sheetData>
    <row r="1" spans="1:10">
      <c r="A1" s="2"/>
      <c r="B1" s="1"/>
      <c r="C1" s="1"/>
      <c r="D1" s="1"/>
      <c r="E1" s="4"/>
      <c r="F1" s="4"/>
      <c r="G1" s="4"/>
      <c r="H1" s="4"/>
      <c r="I1" s="4"/>
    </row>
    <row r="2" spans="1:10" ht="15.75" thickBot="1">
      <c r="A2" s="2" t="s">
        <v>71</v>
      </c>
      <c r="B2" s="1"/>
      <c r="C2" s="1"/>
      <c r="D2" s="1"/>
      <c r="E2" s="4"/>
      <c r="F2" s="4"/>
      <c r="G2" s="4"/>
      <c r="H2" s="4"/>
      <c r="I2" s="4"/>
    </row>
    <row r="3" spans="1:10" ht="15.75" thickBot="1">
      <c r="A3" s="268" t="s">
        <v>268</v>
      </c>
      <c r="B3" s="269"/>
      <c r="C3" s="1"/>
      <c r="D3" s="1"/>
      <c r="E3" s="1"/>
      <c r="F3" s="1"/>
      <c r="G3" s="1"/>
      <c r="H3" s="1"/>
      <c r="I3" s="1"/>
    </row>
    <row r="4" spans="1:10">
      <c r="A4" s="6"/>
      <c r="B4" s="1"/>
      <c r="C4" s="1"/>
      <c r="D4" s="1"/>
      <c r="E4" s="1"/>
      <c r="F4" s="1"/>
      <c r="G4" s="1"/>
      <c r="H4" s="1"/>
      <c r="I4" s="1"/>
    </row>
    <row r="5" spans="1:10">
      <c r="A5" s="2" t="s">
        <v>0</v>
      </c>
      <c r="B5" s="1"/>
      <c r="C5" s="1"/>
      <c r="D5" s="1"/>
      <c r="E5" s="1"/>
      <c r="F5" s="1"/>
      <c r="G5" s="1"/>
      <c r="H5" s="1"/>
      <c r="I5" s="1"/>
    </row>
    <row r="6" spans="1:10" ht="15.75" thickBot="1">
      <c r="A6" s="1"/>
      <c r="B6" s="3"/>
      <c r="C6" s="3"/>
      <c r="D6" s="3"/>
      <c r="E6" s="12"/>
      <c r="F6" s="12"/>
      <c r="G6" s="12"/>
      <c r="H6" s="12"/>
      <c r="I6" s="12"/>
    </row>
    <row r="7" spans="1:10" ht="25.5" thickTop="1" thickBot="1">
      <c r="A7" s="1" t="s">
        <v>1</v>
      </c>
      <c r="B7" s="38" t="s">
        <v>2</v>
      </c>
      <c r="C7" s="38" t="s">
        <v>3</v>
      </c>
      <c r="D7" s="38" t="s">
        <v>54</v>
      </c>
      <c r="E7" s="38" t="s">
        <v>52</v>
      </c>
      <c r="F7" s="38" t="s">
        <v>49</v>
      </c>
      <c r="G7" s="38" t="s">
        <v>4</v>
      </c>
      <c r="H7" s="38" t="s">
        <v>9</v>
      </c>
      <c r="I7" s="38" t="s">
        <v>50</v>
      </c>
      <c r="J7" s="38" t="s">
        <v>51</v>
      </c>
    </row>
    <row r="8" spans="1:10" ht="15.75" thickTop="1">
      <c r="A8" s="1"/>
      <c r="B8" s="1">
        <v>1338</v>
      </c>
      <c r="C8" s="1" t="s">
        <v>284</v>
      </c>
      <c r="D8" s="1"/>
      <c r="E8" s="288"/>
      <c r="F8" s="288">
        <v>1444.44</v>
      </c>
      <c r="G8" s="288">
        <f>+F8*0.12</f>
        <v>173.33279999999999</v>
      </c>
      <c r="H8" s="288">
        <f>+D8+E8+F8+G8</f>
        <v>1617.7728</v>
      </c>
      <c r="I8" s="290">
        <f>+F8*0.1</f>
        <v>144.44400000000002</v>
      </c>
      <c r="J8" s="290">
        <f>+G8*1</f>
        <v>173.33279999999999</v>
      </c>
    </row>
    <row r="9" spans="1:10">
      <c r="A9" s="1"/>
      <c r="B9" s="1">
        <v>1339</v>
      </c>
      <c r="C9" s="205" t="s">
        <v>310</v>
      </c>
      <c r="D9" s="205"/>
      <c r="E9" s="292"/>
      <c r="F9" s="288">
        <v>1320</v>
      </c>
      <c r="G9" s="288">
        <f t="shared" ref="G9:G25" si="0">+F9*0.12</f>
        <v>158.4</v>
      </c>
      <c r="H9" s="288">
        <f t="shared" ref="H9:H25" si="1">+D9+E9+F9+G9</f>
        <v>1478.4</v>
      </c>
      <c r="I9" s="290">
        <f t="shared" ref="I9:I25" si="2">+F9*0.1</f>
        <v>132</v>
      </c>
      <c r="J9" s="290">
        <f t="shared" ref="J9:J25" si="3">+G9*1</f>
        <v>158.4</v>
      </c>
    </row>
    <row r="10" spans="1:10">
      <c r="A10" s="1"/>
      <c r="B10" s="1">
        <v>1340</v>
      </c>
      <c r="C10" s="1" t="s">
        <v>227</v>
      </c>
      <c r="D10" s="1"/>
      <c r="E10" s="288"/>
      <c r="F10" s="288">
        <v>354.44</v>
      </c>
      <c r="G10" s="288">
        <f t="shared" si="0"/>
        <v>42.532799999999995</v>
      </c>
      <c r="H10" s="288">
        <f t="shared" si="1"/>
        <v>396.97280000000001</v>
      </c>
      <c r="I10" s="290">
        <f t="shared" si="2"/>
        <v>35.444000000000003</v>
      </c>
      <c r="J10" s="290">
        <f t="shared" si="3"/>
        <v>42.532799999999995</v>
      </c>
    </row>
    <row r="11" spans="1:10">
      <c r="A11" s="1"/>
      <c r="B11" s="1">
        <v>1341</v>
      </c>
      <c r="C11" s="1" t="s">
        <v>229</v>
      </c>
      <c r="D11" s="1"/>
      <c r="E11" s="288"/>
      <c r="F11" s="288">
        <v>555.55999999999995</v>
      </c>
      <c r="G11" s="288">
        <f t="shared" si="0"/>
        <v>66.667199999999994</v>
      </c>
      <c r="H11" s="288">
        <f t="shared" si="1"/>
        <v>622.22719999999993</v>
      </c>
      <c r="I11" s="290">
        <f t="shared" si="2"/>
        <v>55.555999999999997</v>
      </c>
      <c r="J11" s="290">
        <f t="shared" si="3"/>
        <v>66.667199999999994</v>
      </c>
    </row>
    <row r="12" spans="1:10">
      <c r="A12" s="1"/>
      <c r="B12" s="1">
        <v>1342</v>
      </c>
      <c r="C12" s="1" t="s">
        <v>250</v>
      </c>
      <c r="D12" s="1"/>
      <c r="E12" s="288"/>
      <c r="F12" s="288">
        <v>491.99</v>
      </c>
      <c r="G12" s="288">
        <f t="shared" si="0"/>
        <v>59.038800000000002</v>
      </c>
      <c r="H12" s="288">
        <f t="shared" si="1"/>
        <v>551.02880000000005</v>
      </c>
      <c r="I12" s="290">
        <f t="shared" si="2"/>
        <v>49.199000000000005</v>
      </c>
      <c r="J12" s="290">
        <f t="shared" si="3"/>
        <v>59.038800000000002</v>
      </c>
    </row>
    <row r="13" spans="1:10">
      <c r="A13" s="1"/>
      <c r="B13" s="1">
        <v>1343</v>
      </c>
      <c r="C13" s="1" t="s">
        <v>291</v>
      </c>
      <c r="D13" s="1"/>
      <c r="E13" s="288"/>
      <c r="F13" s="288">
        <v>200</v>
      </c>
      <c r="G13" s="288">
        <f t="shared" si="0"/>
        <v>24</v>
      </c>
      <c r="H13" s="288">
        <f t="shared" si="1"/>
        <v>224</v>
      </c>
      <c r="I13" s="290">
        <f t="shared" si="2"/>
        <v>20</v>
      </c>
      <c r="J13" s="290">
        <f t="shared" si="3"/>
        <v>24</v>
      </c>
    </row>
    <row r="14" spans="1:10">
      <c r="A14" s="1"/>
      <c r="B14" s="1">
        <v>1344</v>
      </c>
      <c r="C14" s="1" t="s">
        <v>292</v>
      </c>
      <c r="D14" s="1"/>
      <c r="E14" s="288"/>
      <c r="F14" s="288">
        <v>100</v>
      </c>
      <c r="G14" s="288">
        <f t="shared" si="0"/>
        <v>12</v>
      </c>
      <c r="H14" s="288">
        <f t="shared" si="1"/>
        <v>112</v>
      </c>
      <c r="I14" s="290">
        <f t="shared" si="2"/>
        <v>10</v>
      </c>
      <c r="J14" s="290">
        <f t="shared" si="3"/>
        <v>12</v>
      </c>
    </row>
    <row r="15" spans="1:10">
      <c r="A15" s="1"/>
      <c r="B15" s="1">
        <v>1345</v>
      </c>
      <c r="C15" s="1" t="s">
        <v>311</v>
      </c>
      <c r="D15" s="1"/>
      <c r="E15" s="288"/>
      <c r="F15" s="288">
        <v>40</v>
      </c>
      <c r="G15" s="288">
        <f t="shared" si="0"/>
        <v>4.8</v>
      </c>
      <c r="H15" s="288">
        <f t="shared" si="1"/>
        <v>44.8</v>
      </c>
      <c r="I15" s="290">
        <f t="shared" si="2"/>
        <v>4</v>
      </c>
      <c r="J15" s="290">
        <f t="shared" si="3"/>
        <v>4.8</v>
      </c>
    </row>
    <row r="16" spans="1:10">
      <c r="A16" s="1"/>
      <c r="B16" s="1">
        <v>1346</v>
      </c>
      <c r="C16" s="205" t="s">
        <v>311</v>
      </c>
      <c r="D16" s="205"/>
      <c r="E16" s="292"/>
      <c r="F16" s="288">
        <v>100</v>
      </c>
      <c r="G16" s="288">
        <f t="shared" si="0"/>
        <v>12</v>
      </c>
      <c r="H16" s="288">
        <f t="shared" si="1"/>
        <v>112</v>
      </c>
      <c r="I16" s="290">
        <f t="shared" si="2"/>
        <v>10</v>
      </c>
      <c r="J16" s="290">
        <f t="shared" si="3"/>
        <v>12</v>
      </c>
    </row>
    <row r="17" spans="1:10">
      <c r="A17" s="1"/>
      <c r="B17" s="1">
        <v>1347</v>
      </c>
      <c r="C17" s="1" t="s">
        <v>312</v>
      </c>
      <c r="D17" s="1"/>
      <c r="E17" s="288"/>
      <c r="F17" s="288">
        <v>122.23</v>
      </c>
      <c r="G17" s="288">
        <f t="shared" si="0"/>
        <v>14.6676</v>
      </c>
      <c r="H17" s="288">
        <f t="shared" si="1"/>
        <v>136.89760000000001</v>
      </c>
      <c r="I17" s="290">
        <f t="shared" si="2"/>
        <v>12.223000000000001</v>
      </c>
      <c r="J17" s="290">
        <f t="shared" si="3"/>
        <v>14.6676</v>
      </c>
    </row>
    <row r="18" spans="1:10">
      <c r="A18" s="1"/>
      <c r="B18" s="1">
        <v>1348</v>
      </c>
      <c r="C18" s="1" t="s">
        <v>312</v>
      </c>
      <c r="D18" s="1"/>
      <c r="E18" s="288"/>
      <c r="F18" s="288">
        <v>944.44</v>
      </c>
      <c r="G18" s="288">
        <f t="shared" si="0"/>
        <v>113.33280000000001</v>
      </c>
      <c r="H18" s="288">
        <f t="shared" si="1"/>
        <v>1057.7728</v>
      </c>
      <c r="I18" s="290">
        <f t="shared" si="2"/>
        <v>94.444000000000017</v>
      </c>
      <c r="J18" s="290">
        <f t="shared" si="3"/>
        <v>113.33280000000001</v>
      </c>
    </row>
    <row r="19" spans="1:10">
      <c r="A19" s="1"/>
      <c r="B19" s="1">
        <v>1349</v>
      </c>
      <c r="C19" s="1" t="s">
        <v>303</v>
      </c>
      <c r="D19" s="1"/>
      <c r="E19" s="288"/>
      <c r="F19" s="288">
        <v>611.11</v>
      </c>
      <c r="G19" s="288">
        <f t="shared" si="0"/>
        <v>73.333200000000005</v>
      </c>
      <c r="H19" s="288">
        <f t="shared" si="1"/>
        <v>684.44320000000005</v>
      </c>
      <c r="I19" s="290">
        <f t="shared" si="2"/>
        <v>61.111000000000004</v>
      </c>
      <c r="J19" s="290">
        <f t="shared" si="3"/>
        <v>73.333200000000005</v>
      </c>
    </row>
    <row r="20" spans="1:10">
      <c r="A20" s="1"/>
      <c r="B20" s="1">
        <v>1350</v>
      </c>
      <c r="C20" s="1" t="s">
        <v>313</v>
      </c>
      <c r="D20" s="1"/>
      <c r="E20" s="288">
        <v>1650</v>
      </c>
      <c r="F20" s="288">
        <v>0</v>
      </c>
      <c r="G20" s="288">
        <f t="shared" si="0"/>
        <v>0</v>
      </c>
      <c r="H20" s="288">
        <f t="shared" si="1"/>
        <v>1650</v>
      </c>
      <c r="I20" s="290">
        <f t="shared" si="2"/>
        <v>0</v>
      </c>
      <c r="J20" s="290">
        <f t="shared" si="3"/>
        <v>0</v>
      </c>
    </row>
    <row r="21" spans="1:10">
      <c r="A21" s="1"/>
      <c r="B21" s="1">
        <v>1351</v>
      </c>
      <c r="C21" s="1" t="s">
        <v>314</v>
      </c>
      <c r="D21" s="1"/>
      <c r="E21" s="288">
        <v>250</v>
      </c>
      <c r="F21" s="288">
        <v>0</v>
      </c>
      <c r="G21" s="288">
        <f t="shared" si="0"/>
        <v>0</v>
      </c>
      <c r="H21" s="288">
        <f t="shared" si="1"/>
        <v>250</v>
      </c>
      <c r="I21" s="290">
        <f t="shared" si="2"/>
        <v>0</v>
      </c>
      <c r="J21" s="290">
        <f t="shared" si="3"/>
        <v>0</v>
      </c>
    </row>
    <row r="22" spans="1:10">
      <c r="A22" s="1"/>
      <c r="B22" s="1">
        <v>1352</v>
      </c>
      <c r="C22" s="1" t="s">
        <v>284</v>
      </c>
      <c r="D22" s="1"/>
      <c r="E22" s="288"/>
      <c r="F22" s="288">
        <v>833.33</v>
      </c>
      <c r="G22" s="288">
        <f t="shared" si="0"/>
        <v>99.999600000000001</v>
      </c>
      <c r="H22" s="288">
        <f t="shared" si="1"/>
        <v>933.32960000000003</v>
      </c>
      <c r="I22" s="290">
        <f t="shared" si="2"/>
        <v>83.333000000000013</v>
      </c>
      <c r="J22" s="290">
        <f t="shared" si="3"/>
        <v>99.999600000000001</v>
      </c>
    </row>
    <row r="23" spans="1:10">
      <c r="A23" s="1"/>
      <c r="B23" s="1"/>
      <c r="C23" s="1"/>
      <c r="D23" s="1"/>
      <c r="E23" s="288"/>
      <c r="F23" s="288"/>
      <c r="G23" s="288">
        <f t="shared" si="0"/>
        <v>0</v>
      </c>
      <c r="H23" s="288">
        <f t="shared" si="1"/>
        <v>0</v>
      </c>
      <c r="I23" s="290">
        <f t="shared" si="2"/>
        <v>0</v>
      </c>
      <c r="J23" s="290">
        <f t="shared" si="3"/>
        <v>0</v>
      </c>
    </row>
    <row r="24" spans="1:10">
      <c r="A24" s="1"/>
      <c r="B24" s="1"/>
      <c r="C24" s="1"/>
      <c r="D24" s="1"/>
      <c r="E24" s="288"/>
      <c r="F24" s="288"/>
      <c r="G24" s="288">
        <f t="shared" si="0"/>
        <v>0</v>
      </c>
      <c r="H24" s="288">
        <f t="shared" si="1"/>
        <v>0</v>
      </c>
      <c r="I24" s="290">
        <f t="shared" si="2"/>
        <v>0</v>
      </c>
      <c r="J24" s="290">
        <f t="shared" si="3"/>
        <v>0</v>
      </c>
    </row>
    <row r="25" spans="1:10">
      <c r="A25" s="1"/>
      <c r="B25" s="1"/>
      <c r="C25" s="1"/>
      <c r="D25" s="1"/>
      <c r="E25" s="288"/>
      <c r="F25" s="288"/>
      <c r="G25" s="288">
        <f t="shared" si="0"/>
        <v>0</v>
      </c>
      <c r="H25" s="288">
        <f t="shared" si="1"/>
        <v>0</v>
      </c>
      <c r="I25" s="290">
        <f t="shared" si="2"/>
        <v>0</v>
      </c>
      <c r="J25" s="290">
        <f t="shared" si="3"/>
        <v>0</v>
      </c>
    </row>
    <row r="26" spans="1:10" ht="15.75" thickBot="1">
      <c r="A26" s="2"/>
      <c r="B26" s="2"/>
      <c r="C26" s="2"/>
      <c r="D26" s="8">
        <f t="shared" ref="D26:J26" si="4">SUM(D8:D25)</f>
        <v>0</v>
      </c>
      <c r="E26" s="8">
        <f t="shared" si="4"/>
        <v>1900</v>
      </c>
      <c r="F26" s="8">
        <f t="shared" si="4"/>
        <v>7117.54</v>
      </c>
      <c r="G26" s="8">
        <f t="shared" si="4"/>
        <v>854.10479999999995</v>
      </c>
      <c r="H26" s="8">
        <f t="shared" si="4"/>
        <v>9871.6448000000019</v>
      </c>
      <c r="I26" s="8">
        <f t="shared" si="4"/>
        <v>711.75400000000002</v>
      </c>
      <c r="J26" s="8">
        <f t="shared" si="4"/>
        <v>854.10479999999995</v>
      </c>
    </row>
    <row r="27" spans="1:10">
      <c r="A27" s="1"/>
      <c r="B27" s="1"/>
      <c r="C27" s="1"/>
      <c r="D27" s="1"/>
      <c r="E27" s="4"/>
      <c r="F27" s="4"/>
      <c r="G27" s="1"/>
      <c r="H27" s="1"/>
      <c r="I27" s="1"/>
    </row>
    <row r="28" spans="1:10">
      <c r="A28" s="2" t="s">
        <v>6</v>
      </c>
      <c r="B28" s="1"/>
      <c r="C28" s="1"/>
      <c r="D28" s="1"/>
      <c r="E28" s="1"/>
      <c r="F28" s="1"/>
      <c r="G28" s="1"/>
      <c r="H28" s="1"/>
      <c r="I28" s="3"/>
    </row>
    <row r="29" spans="1:10" ht="15.75" thickBot="1">
      <c r="A29" s="1"/>
      <c r="B29" s="3"/>
      <c r="C29" s="3"/>
      <c r="D29" s="3"/>
      <c r="E29" s="3"/>
      <c r="F29" s="3"/>
      <c r="G29" s="3"/>
      <c r="H29" s="3"/>
      <c r="I29" s="4"/>
    </row>
    <row r="30" spans="1:10" ht="24" customHeight="1" thickTop="1" thickBot="1">
      <c r="A30" s="1" t="s">
        <v>1</v>
      </c>
      <c r="B30" s="38" t="s">
        <v>2</v>
      </c>
      <c r="C30" s="38" t="s">
        <v>3</v>
      </c>
      <c r="D30" s="38" t="s">
        <v>7</v>
      </c>
      <c r="E30" s="38" t="s">
        <v>8</v>
      </c>
      <c r="F30" s="38" t="s">
        <v>4</v>
      </c>
      <c r="G30" s="38" t="s">
        <v>5</v>
      </c>
      <c r="I30" s="4"/>
    </row>
    <row r="31" spans="1:10" ht="15.75" thickTop="1">
      <c r="A31" s="1"/>
      <c r="B31" s="13">
        <v>26475</v>
      </c>
      <c r="C31" s="67" t="s">
        <v>315</v>
      </c>
      <c r="D31" s="30"/>
      <c r="E31">
        <v>25.85</v>
      </c>
      <c r="F31" s="288">
        <f>+E31*0.12</f>
        <v>3.1019999999999999</v>
      </c>
      <c r="G31" s="288">
        <f>+D31+E31+F31</f>
        <v>28.952000000000002</v>
      </c>
    </row>
    <row r="32" spans="1:10">
      <c r="A32" s="1"/>
      <c r="B32" s="13">
        <v>718</v>
      </c>
      <c r="C32" s="67" t="s">
        <v>316</v>
      </c>
      <c r="D32" s="30"/>
      <c r="E32">
        <v>3.75</v>
      </c>
      <c r="F32" s="288">
        <f t="shared" ref="F32:F36" si="5">+E32*0.12</f>
        <v>0.44999999999999996</v>
      </c>
      <c r="G32" s="288">
        <f t="shared" ref="G32:G36" si="6">+D32+E32+F32</f>
        <v>4.2</v>
      </c>
      <c r="I32" s="4"/>
    </row>
    <row r="33" spans="1:9">
      <c r="A33" s="1"/>
      <c r="B33" s="13">
        <v>77429</v>
      </c>
      <c r="C33" s="67" t="s">
        <v>317</v>
      </c>
      <c r="D33" s="30"/>
      <c r="E33">
        <v>3.6</v>
      </c>
      <c r="F33" s="288">
        <f t="shared" si="5"/>
        <v>0.432</v>
      </c>
      <c r="G33" s="288">
        <f t="shared" si="6"/>
        <v>4.032</v>
      </c>
      <c r="I33" s="4"/>
    </row>
    <row r="34" spans="1:9">
      <c r="A34" s="1"/>
      <c r="B34" s="13"/>
      <c r="C34" s="67"/>
      <c r="D34" s="30"/>
      <c r="F34" s="288">
        <f t="shared" si="5"/>
        <v>0</v>
      </c>
      <c r="G34" s="288">
        <f t="shared" si="6"/>
        <v>0</v>
      </c>
      <c r="I34" s="4"/>
    </row>
    <row r="35" spans="1:9">
      <c r="A35" s="1"/>
      <c r="B35" s="13"/>
      <c r="C35" s="67"/>
      <c r="D35" s="30"/>
      <c r="F35" s="288">
        <f t="shared" si="5"/>
        <v>0</v>
      </c>
      <c r="G35" s="288">
        <f t="shared" si="6"/>
        <v>0</v>
      </c>
      <c r="I35" s="4"/>
    </row>
    <row r="36" spans="1:9">
      <c r="A36" s="1"/>
      <c r="B36" s="13"/>
      <c r="C36" s="67"/>
      <c r="D36" s="30"/>
      <c r="F36" s="288">
        <f t="shared" si="5"/>
        <v>0</v>
      </c>
      <c r="G36" s="288">
        <f t="shared" si="6"/>
        <v>0</v>
      </c>
      <c r="I36" s="4"/>
    </row>
    <row r="37" spans="1:9" ht="15.75" thickBot="1">
      <c r="A37" s="2"/>
      <c r="B37" s="2"/>
      <c r="C37" s="2"/>
      <c r="D37" s="8">
        <f>SUM(D31:D36)</f>
        <v>0</v>
      </c>
      <c r="E37" s="8">
        <f>SUM(E31:E36)</f>
        <v>33.200000000000003</v>
      </c>
      <c r="F37" s="8">
        <f>SUM(F31:F36)</f>
        <v>3.9839999999999995</v>
      </c>
      <c r="G37" s="8">
        <f>SUM(G31:G36)</f>
        <v>37.183999999999997</v>
      </c>
    </row>
    <row r="38" spans="1:9">
      <c r="A38" s="2"/>
      <c r="B38" s="2"/>
      <c r="C38" s="2"/>
      <c r="D38" s="2"/>
      <c r="E38" s="10"/>
      <c r="F38" s="10"/>
      <c r="G38" s="10"/>
      <c r="H38" s="10"/>
      <c r="I38" s="10"/>
    </row>
    <row r="39" spans="1:9">
      <c r="A39" s="2"/>
      <c r="B39" s="2"/>
      <c r="C39" s="2"/>
      <c r="D39" s="2"/>
      <c r="E39" s="10"/>
      <c r="F39" s="10"/>
      <c r="G39" s="10"/>
      <c r="H39" s="10"/>
      <c r="I39" s="10"/>
    </row>
    <row r="41" spans="1:9">
      <c r="A41" s="1"/>
      <c r="B41" s="1"/>
      <c r="C41" s="1" t="s">
        <v>78</v>
      </c>
      <c r="D41" s="1"/>
      <c r="F41" s="11">
        <f>+F26</f>
        <v>7117.54</v>
      </c>
      <c r="G41" s="7">
        <v>0.12</v>
      </c>
      <c r="H41" s="4">
        <f>+F41*G41</f>
        <v>854.10479999999995</v>
      </c>
      <c r="I41" s="1"/>
    </row>
    <row r="42" spans="1:9">
      <c r="A42" s="1"/>
      <c r="B42" s="1"/>
      <c r="C42" s="1" t="s">
        <v>42</v>
      </c>
      <c r="D42" s="1"/>
      <c r="F42" s="11">
        <f>+E26</f>
        <v>1900</v>
      </c>
      <c r="G42" s="1"/>
      <c r="H42" s="4"/>
      <c r="I42" s="1"/>
    </row>
    <row r="43" spans="1:9">
      <c r="A43" s="1"/>
      <c r="B43" s="1"/>
      <c r="C43" s="1" t="s">
        <v>54</v>
      </c>
      <c r="D43" s="1"/>
      <c r="F43" s="80">
        <f>+D26</f>
        <v>0</v>
      </c>
      <c r="G43" s="7"/>
      <c r="H43" s="9"/>
      <c r="I43" s="1"/>
    </row>
    <row r="44" spans="1:9">
      <c r="A44" s="1"/>
      <c r="B44" s="1"/>
      <c r="C44" s="2" t="s">
        <v>73</v>
      </c>
      <c r="D44" s="2"/>
      <c r="E44" s="22"/>
      <c r="F44" s="81">
        <f>SUM(F41:F43)</f>
        <v>9017.5400000000009</v>
      </c>
      <c r="G44" s="5"/>
      <c r="H44" s="5">
        <f>SUM(H41:H43)</f>
        <v>854.10479999999995</v>
      </c>
      <c r="I44" s="1"/>
    </row>
    <row r="45" spans="1:9">
      <c r="A45" s="1"/>
      <c r="B45" s="1"/>
      <c r="C45" s="2"/>
      <c r="D45" s="2"/>
      <c r="E45" s="22"/>
      <c r="F45" s="81"/>
      <c r="G45" s="5"/>
      <c r="H45" s="5"/>
      <c r="I45" s="1"/>
    </row>
    <row r="46" spans="1:9">
      <c r="A46" s="1"/>
      <c r="B46" s="1"/>
      <c r="C46" s="177" t="s">
        <v>222</v>
      </c>
      <c r="D46" s="178"/>
      <c r="E46" s="179"/>
      <c r="F46" s="209">
        <f>+F41/F44</f>
        <v>0.78929952071185705</v>
      </c>
      <c r="G46" s="5"/>
      <c r="H46" s="5"/>
      <c r="I46" s="1"/>
    </row>
    <row r="47" spans="1:9">
      <c r="A47" s="1"/>
      <c r="B47" s="1"/>
      <c r="C47" s="1"/>
      <c r="D47" s="1"/>
      <c r="F47" s="11"/>
      <c r="G47" s="1"/>
      <c r="H47" s="4"/>
      <c r="I47" s="1"/>
    </row>
    <row r="48" spans="1:9">
      <c r="A48" s="1"/>
      <c r="B48" s="1"/>
      <c r="C48" s="1" t="s">
        <v>10</v>
      </c>
      <c r="D48" s="1"/>
      <c r="F48" s="11">
        <f>+D37</f>
        <v>0</v>
      </c>
      <c r="G48" s="1"/>
      <c r="H48" s="4">
        <v>0</v>
      </c>
      <c r="I48" s="1"/>
    </row>
    <row r="49" spans="1:10">
      <c r="A49" s="1"/>
      <c r="B49" s="1"/>
      <c r="C49" s="1" t="s">
        <v>11</v>
      </c>
      <c r="D49" s="1"/>
      <c r="F49" s="80">
        <f>+E37</f>
        <v>33.200000000000003</v>
      </c>
      <c r="G49" s="7">
        <v>0.12</v>
      </c>
      <c r="H49" s="9">
        <f>+G49*F49</f>
        <v>3.984</v>
      </c>
      <c r="I49" s="1"/>
    </row>
    <row r="50" spans="1:10">
      <c r="A50" s="1"/>
      <c r="B50" s="1"/>
      <c r="C50" s="2" t="s">
        <v>72</v>
      </c>
      <c r="D50" s="2"/>
      <c r="E50" s="22"/>
      <c r="F50" s="81">
        <f>SUM(F48:F49)</f>
        <v>33.200000000000003</v>
      </c>
      <c r="G50" s="5"/>
      <c r="H50" s="5">
        <f>SUM(H48:H49)</f>
        <v>3.984</v>
      </c>
      <c r="I50" s="1"/>
    </row>
    <row r="51" spans="1:10">
      <c r="A51" s="1"/>
      <c r="B51" s="1"/>
      <c r="C51" s="2" t="s">
        <v>223</v>
      </c>
      <c r="D51" s="2"/>
      <c r="E51" s="22"/>
      <c r="F51" s="81"/>
      <c r="G51" s="5"/>
      <c r="H51" s="5">
        <f>+H50*F46</f>
        <v>3.1445692905160385</v>
      </c>
      <c r="I51" s="1"/>
    </row>
    <row r="52" spans="1:10">
      <c r="A52" s="1"/>
      <c r="B52" s="1"/>
      <c r="C52" s="1"/>
      <c r="D52" s="1"/>
      <c r="F52" s="4"/>
      <c r="G52" s="1"/>
      <c r="H52" s="4"/>
      <c r="I52" s="1"/>
    </row>
    <row r="53" spans="1:10">
      <c r="A53" s="1"/>
      <c r="B53" s="1"/>
      <c r="C53" s="1"/>
      <c r="D53" s="1"/>
      <c r="F53" s="4"/>
      <c r="G53" s="1"/>
      <c r="H53" s="4"/>
      <c r="I53" s="1"/>
    </row>
    <row r="54" spans="1:10">
      <c r="A54" s="1"/>
      <c r="B54" s="1"/>
      <c r="C54" s="68" t="s">
        <v>70</v>
      </c>
      <c r="D54" s="1"/>
      <c r="F54" s="1"/>
      <c r="G54" s="1"/>
      <c r="H54" s="69">
        <f>+H44-H51</f>
        <v>850.96023070948388</v>
      </c>
      <c r="I54" s="1"/>
    </row>
    <row r="55" spans="1:10">
      <c r="A55" s="1"/>
      <c r="B55" s="1"/>
      <c r="C55" s="1"/>
      <c r="D55" s="1"/>
      <c r="F55" s="1"/>
      <c r="G55" s="1"/>
      <c r="H55" s="4"/>
      <c r="I55" s="1"/>
    </row>
    <row r="56" spans="1:10">
      <c r="A56" s="1"/>
      <c r="B56" s="1"/>
      <c r="C56" s="1" t="s">
        <v>13</v>
      </c>
      <c r="D56" s="1"/>
      <c r="F56" s="1"/>
      <c r="G56" s="1"/>
      <c r="H56" s="4">
        <f>-J26</f>
        <v>-854.10479999999995</v>
      </c>
      <c r="I56" s="1"/>
    </row>
    <row r="57" spans="1:10">
      <c r="A57" s="1"/>
      <c r="B57" s="1"/>
      <c r="C57" s="1"/>
      <c r="D57" s="1"/>
      <c r="F57" s="1"/>
      <c r="G57" s="1"/>
      <c r="H57" s="4"/>
      <c r="I57" s="1"/>
    </row>
    <row r="58" spans="1:10">
      <c r="A58" s="1"/>
      <c r="B58" s="1"/>
      <c r="C58" s="68" t="s">
        <v>12</v>
      </c>
      <c r="D58" s="1"/>
      <c r="F58" s="1"/>
      <c r="G58" s="1"/>
      <c r="H58" s="69">
        <f>+H54+H56</f>
        <v>-3.144569290516074</v>
      </c>
      <c r="I58" s="1"/>
    </row>
    <row r="59" spans="1:10">
      <c r="C59" s="1"/>
      <c r="D59" s="1"/>
      <c r="F59" s="1"/>
      <c r="G59" s="1"/>
      <c r="H59" s="4"/>
      <c r="I59" s="1"/>
    </row>
    <row r="60" spans="1:10" ht="15.75">
      <c r="C60" s="70" t="s">
        <v>74</v>
      </c>
      <c r="E60" s="74" t="s">
        <v>75</v>
      </c>
      <c r="F60" s="71">
        <v>605</v>
      </c>
      <c r="H60" s="72">
        <f>+JUNIO!H65</f>
        <v>-143.96036867568978</v>
      </c>
      <c r="I60" s="1"/>
    </row>
    <row r="61" spans="1:10" ht="15.75">
      <c r="C61" s="70" t="s">
        <v>74</v>
      </c>
      <c r="E61" s="74" t="s">
        <v>76</v>
      </c>
      <c r="F61" s="71">
        <v>606</v>
      </c>
      <c r="H61" s="72">
        <f>+JUNIO!H66</f>
        <v>3874.8005015787912</v>
      </c>
      <c r="I61" s="1"/>
    </row>
    <row r="62" spans="1:10" ht="15.75">
      <c r="C62" s="70"/>
      <c r="F62" s="71"/>
      <c r="H62" s="73"/>
      <c r="J62" s="17"/>
    </row>
    <row r="63" spans="1:10" ht="15.75">
      <c r="C63" s="70"/>
      <c r="F63" s="71"/>
      <c r="H63" s="73"/>
      <c r="I63" s="1"/>
    </row>
    <row r="64" spans="1:10" ht="15.75">
      <c r="C64" s="70" t="s">
        <v>77</v>
      </c>
      <c r="F64" s="71">
        <v>615</v>
      </c>
      <c r="H64" s="73"/>
    </row>
    <row r="65" spans="3:10" ht="15.75">
      <c r="C65" s="70" t="s">
        <v>77</v>
      </c>
      <c r="F65" s="71">
        <v>617</v>
      </c>
      <c r="H65" s="72">
        <f>+H58+H60+H61</f>
        <v>3727.6955636125854</v>
      </c>
      <c r="J65" s="83"/>
    </row>
  </sheetData>
  <sheetProtection formatCells="0" formatColumns="0" formatRows="0"/>
  <pageMargins left="0.70866141732283472" right="0.70866141732283472" top="0.74803149606299213" bottom="0.74803149606299213" header="0.31496062992125984" footer="0.31496062992125984"/>
  <pageSetup paperSize="9" scale="63" orientation="portrait" horizontalDpi="120" verticalDpi="14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7" tint="0.39997558519241921"/>
    <pageSetUpPr fitToPage="1"/>
  </sheetPr>
  <dimension ref="A1:J65"/>
  <sheetViews>
    <sheetView zoomScaleNormal="100" workbookViewId="0">
      <selection activeCell="G32" sqref="G32"/>
    </sheetView>
  </sheetViews>
  <sheetFormatPr baseColWidth="10" defaultRowHeight="15"/>
  <cols>
    <col min="1" max="1" width="8.140625" customWidth="1"/>
    <col min="2" max="2" width="16.140625" customWidth="1"/>
    <col min="3" max="3" width="28.5703125" customWidth="1"/>
    <col min="4" max="4" width="12.5703125" bestFit="1" customWidth="1"/>
    <col min="6" max="6" width="13.28515625" customWidth="1"/>
    <col min="10" max="10" width="14" customWidth="1"/>
  </cols>
  <sheetData>
    <row r="1" spans="1:10">
      <c r="A1" s="2"/>
      <c r="B1" s="1"/>
      <c r="C1" s="1"/>
      <c r="D1" s="1"/>
      <c r="E1" s="4"/>
      <c r="F1" s="4"/>
      <c r="G1" s="4"/>
      <c r="H1" s="4"/>
      <c r="I1" s="4"/>
    </row>
    <row r="2" spans="1:10" ht="15.75" thickBot="1">
      <c r="A2" s="2" t="s">
        <v>71</v>
      </c>
      <c r="B2" s="1"/>
      <c r="C2" s="1"/>
      <c r="D2" s="1"/>
      <c r="E2" s="4"/>
      <c r="F2" s="4"/>
      <c r="G2" s="4"/>
      <c r="H2" s="4"/>
      <c r="I2" s="4"/>
    </row>
    <row r="3" spans="1:10" ht="15.75" thickBot="1">
      <c r="A3" s="268" t="s">
        <v>269</v>
      </c>
      <c r="B3" s="269"/>
      <c r="C3" s="1"/>
      <c r="D3" s="1"/>
      <c r="E3" s="1"/>
      <c r="F3" s="1"/>
      <c r="G3" s="1"/>
      <c r="H3" s="1"/>
      <c r="I3" s="1"/>
    </row>
    <row r="4" spans="1:10">
      <c r="A4" s="6"/>
      <c r="B4" s="1"/>
      <c r="C4" s="1"/>
      <c r="D4" s="1"/>
      <c r="E4" s="1"/>
      <c r="F4" s="1"/>
      <c r="G4" s="1"/>
      <c r="H4" s="1"/>
      <c r="I4" s="1"/>
    </row>
    <row r="5" spans="1:10">
      <c r="A5" s="2" t="s">
        <v>0</v>
      </c>
      <c r="B5" s="1"/>
      <c r="C5" s="1"/>
      <c r="D5" s="1"/>
      <c r="E5" s="1"/>
      <c r="F5" s="1"/>
      <c r="G5" s="1"/>
      <c r="H5" s="1"/>
      <c r="I5" s="1"/>
    </row>
    <row r="6" spans="1:10" ht="15.75" thickBot="1">
      <c r="A6" s="1"/>
      <c r="B6" s="3"/>
      <c r="C6" s="3"/>
      <c r="D6" s="3"/>
      <c r="E6" s="12"/>
      <c r="F6" s="12"/>
      <c r="G6" s="12"/>
      <c r="H6" s="12"/>
      <c r="I6" s="12"/>
    </row>
    <row r="7" spans="1:10" ht="25.5" thickTop="1" thickBot="1">
      <c r="A7" s="1" t="s">
        <v>1</v>
      </c>
      <c r="B7" s="38" t="s">
        <v>2</v>
      </c>
      <c r="C7" s="38" t="s">
        <v>3</v>
      </c>
      <c r="D7" s="38" t="s">
        <v>54</v>
      </c>
      <c r="E7" s="38" t="s">
        <v>52</v>
      </c>
      <c r="F7" s="38" t="s">
        <v>49</v>
      </c>
      <c r="G7" s="38" t="s">
        <v>4</v>
      </c>
      <c r="H7" s="38" t="s">
        <v>9</v>
      </c>
      <c r="I7" s="38" t="s">
        <v>50</v>
      </c>
      <c r="J7" s="38" t="s">
        <v>51</v>
      </c>
    </row>
    <row r="8" spans="1:10" ht="15.75" thickTop="1">
      <c r="A8" s="1"/>
      <c r="B8" s="1">
        <v>1353</v>
      </c>
      <c r="C8" s="1" t="s">
        <v>281</v>
      </c>
      <c r="D8" s="1"/>
      <c r="E8" s="288"/>
      <c r="F8" s="288">
        <v>1444.44</v>
      </c>
      <c r="G8" s="288">
        <f>+F8*0.12</f>
        <v>173.33279999999999</v>
      </c>
      <c r="H8" s="288">
        <f>+D8+E8+F8+G8</f>
        <v>1617.7728</v>
      </c>
      <c r="I8" s="288">
        <f>+F8*10%</f>
        <v>144.44400000000002</v>
      </c>
      <c r="J8" s="288">
        <f>+G8</f>
        <v>173.33279999999999</v>
      </c>
    </row>
    <row r="9" spans="1:10">
      <c r="A9" s="1"/>
      <c r="B9" s="1">
        <v>1354</v>
      </c>
      <c r="C9" s="1" t="s">
        <v>310</v>
      </c>
      <c r="D9" s="1"/>
      <c r="E9" s="288"/>
      <c r="F9" s="288">
        <v>1320</v>
      </c>
      <c r="G9" s="288">
        <f t="shared" ref="G9:G21" si="0">+F9*0.12</f>
        <v>158.4</v>
      </c>
      <c r="H9" s="288">
        <f t="shared" ref="H9:H21" si="1">+D9+E9+F9+G9</f>
        <v>1478.4</v>
      </c>
      <c r="I9" s="288">
        <f t="shared" ref="I9:I21" si="2">+F9*10%</f>
        <v>132</v>
      </c>
      <c r="J9" s="288">
        <f t="shared" ref="J9:J21" si="3">+G9</f>
        <v>158.4</v>
      </c>
    </row>
    <row r="10" spans="1:10">
      <c r="A10" s="1"/>
      <c r="B10" s="1">
        <v>1355</v>
      </c>
      <c r="C10" s="1" t="s">
        <v>250</v>
      </c>
      <c r="D10" s="1"/>
      <c r="E10" s="288"/>
      <c r="F10" s="288">
        <v>491.99</v>
      </c>
      <c r="G10" s="288">
        <f t="shared" si="0"/>
        <v>59.038800000000002</v>
      </c>
      <c r="H10" s="288">
        <f t="shared" si="1"/>
        <v>551.02880000000005</v>
      </c>
      <c r="I10" s="288">
        <f t="shared" si="2"/>
        <v>49.199000000000005</v>
      </c>
      <c r="J10" s="288">
        <f t="shared" si="3"/>
        <v>59.038800000000002</v>
      </c>
    </row>
    <row r="11" spans="1:10">
      <c r="A11" s="1"/>
      <c r="B11" s="1">
        <v>1356</v>
      </c>
      <c r="C11" s="1" t="s">
        <v>286</v>
      </c>
      <c r="D11" s="1"/>
      <c r="E11" s="288"/>
      <c r="F11" s="288">
        <v>200</v>
      </c>
      <c r="G11" s="288">
        <f t="shared" si="0"/>
        <v>24</v>
      </c>
      <c r="H11" s="288">
        <f t="shared" si="1"/>
        <v>224</v>
      </c>
      <c r="I11" s="288">
        <f t="shared" si="2"/>
        <v>20</v>
      </c>
      <c r="J11" s="288">
        <f t="shared" si="3"/>
        <v>24</v>
      </c>
    </row>
    <row r="12" spans="1:10">
      <c r="A12" s="1"/>
      <c r="B12" s="1">
        <v>1357</v>
      </c>
      <c r="C12" s="1" t="s">
        <v>287</v>
      </c>
      <c r="D12" s="1"/>
      <c r="E12" s="288"/>
      <c r="F12" s="288">
        <v>100</v>
      </c>
      <c r="G12" s="288">
        <f t="shared" si="0"/>
        <v>12</v>
      </c>
      <c r="H12" s="288">
        <f t="shared" si="1"/>
        <v>112</v>
      </c>
      <c r="I12" s="288">
        <f t="shared" si="2"/>
        <v>10</v>
      </c>
      <c r="J12" s="288">
        <f t="shared" si="3"/>
        <v>12</v>
      </c>
    </row>
    <row r="13" spans="1:10">
      <c r="A13" s="1"/>
      <c r="B13" s="1">
        <v>1358</v>
      </c>
      <c r="C13" s="1" t="s">
        <v>311</v>
      </c>
      <c r="D13" s="1"/>
      <c r="E13" s="288"/>
      <c r="F13" s="288">
        <v>60</v>
      </c>
      <c r="G13" s="288">
        <f t="shared" si="0"/>
        <v>7.1999999999999993</v>
      </c>
      <c r="H13" s="288">
        <f t="shared" si="1"/>
        <v>67.2</v>
      </c>
      <c r="I13" s="288">
        <f t="shared" si="2"/>
        <v>6</v>
      </c>
      <c r="J13" s="288">
        <f t="shared" si="3"/>
        <v>7.1999999999999993</v>
      </c>
    </row>
    <row r="14" spans="1:10">
      <c r="A14" s="1"/>
      <c r="B14" s="1">
        <v>1359</v>
      </c>
      <c r="C14" s="1" t="s">
        <v>312</v>
      </c>
      <c r="D14" s="1"/>
      <c r="E14" s="288"/>
      <c r="F14" s="288">
        <v>122.23</v>
      </c>
      <c r="G14" s="288">
        <f t="shared" si="0"/>
        <v>14.6676</v>
      </c>
      <c r="H14" s="288">
        <f t="shared" si="1"/>
        <v>136.89760000000001</v>
      </c>
      <c r="I14" s="288">
        <f t="shared" si="2"/>
        <v>12.223000000000001</v>
      </c>
      <c r="J14" s="288">
        <f t="shared" si="3"/>
        <v>14.6676</v>
      </c>
    </row>
    <row r="15" spans="1:10">
      <c r="A15" s="1"/>
      <c r="B15" s="1">
        <v>1360</v>
      </c>
      <c r="C15" s="1" t="s">
        <v>303</v>
      </c>
      <c r="D15" s="1"/>
      <c r="E15" s="288"/>
      <c r="F15" s="288">
        <v>611.11</v>
      </c>
      <c r="G15" s="288">
        <f t="shared" si="0"/>
        <v>73.333200000000005</v>
      </c>
      <c r="H15" s="288">
        <f t="shared" si="1"/>
        <v>684.44320000000005</v>
      </c>
      <c r="I15" s="288">
        <f t="shared" si="2"/>
        <v>61.111000000000004</v>
      </c>
      <c r="J15" s="288">
        <f t="shared" si="3"/>
        <v>73.333200000000005</v>
      </c>
    </row>
    <row r="16" spans="1:10">
      <c r="A16" s="1"/>
      <c r="B16" s="1">
        <v>1361</v>
      </c>
      <c r="C16" s="1" t="s">
        <v>318</v>
      </c>
      <c r="D16" s="1"/>
      <c r="E16" s="288">
        <v>250</v>
      </c>
      <c r="F16" s="288"/>
      <c r="G16" s="288">
        <f t="shared" si="0"/>
        <v>0</v>
      </c>
      <c r="H16" s="288">
        <f t="shared" si="1"/>
        <v>250</v>
      </c>
      <c r="I16" s="288">
        <f t="shared" si="2"/>
        <v>0</v>
      </c>
      <c r="J16" s="288">
        <f t="shared" si="3"/>
        <v>0</v>
      </c>
    </row>
    <row r="17" spans="1:10">
      <c r="A17" s="1"/>
      <c r="B17" s="1">
        <v>1362</v>
      </c>
      <c r="C17" s="1" t="s">
        <v>227</v>
      </c>
      <c r="D17" s="1"/>
      <c r="E17" s="288"/>
      <c r="F17" s="288">
        <v>354.44</v>
      </c>
      <c r="G17" s="288">
        <f t="shared" si="0"/>
        <v>42.532799999999995</v>
      </c>
      <c r="H17" s="288">
        <f t="shared" si="1"/>
        <v>396.97280000000001</v>
      </c>
      <c r="I17" s="288">
        <f t="shared" si="2"/>
        <v>35.444000000000003</v>
      </c>
      <c r="J17" s="288">
        <f t="shared" si="3"/>
        <v>42.532799999999995</v>
      </c>
    </row>
    <row r="18" spans="1:10">
      <c r="A18" s="1"/>
      <c r="B18" s="1"/>
      <c r="C18" s="1"/>
      <c r="D18" s="1"/>
      <c r="E18" s="288"/>
      <c r="F18" s="288"/>
      <c r="G18" s="288">
        <f t="shared" si="0"/>
        <v>0</v>
      </c>
      <c r="H18" s="288">
        <f t="shared" si="1"/>
        <v>0</v>
      </c>
      <c r="I18" s="288">
        <f t="shared" si="2"/>
        <v>0</v>
      </c>
      <c r="J18" s="288">
        <f t="shared" si="3"/>
        <v>0</v>
      </c>
    </row>
    <row r="19" spans="1:10">
      <c r="A19" s="1"/>
      <c r="B19" s="1"/>
      <c r="C19" s="1"/>
      <c r="D19" s="1"/>
      <c r="E19" s="288"/>
      <c r="F19" s="288"/>
      <c r="G19" s="288">
        <f t="shared" si="0"/>
        <v>0</v>
      </c>
      <c r="H19" s="288">
        <f t="shared" si="1"/>
        <v>0</v>
      </c>
      <c r="I19" s="288">
        <f t="shared" si="2"/>
        <v>0</v>
      </c>
      <c r="J19" s="288">
        <f t="shared" si="3"/>
        <v>0</v>
      </c>
    </row>
    <row r="20" spans="1:10">
      <c r="A20" s="1"/>
      <c r="B20" s="1"/>
      <c r="C20" s="1"/>
      <c r="D20" s="1"/>
      <c r="E20" s="288"/>
      <c r="F20" s="288"/>
      <c r="G20" s="288">
        <f t="shared" si="0"/>
        <v>0</v>
      </c>
      <c r="H20" s="288">
        <f t="shared" si="1"/>
        <v>0</v>
      </c>
      <c r="I20" s="288">
        <f t="shared" si="2"/>
        <v>0</v>
      </c>
      <c r="J20" s="288">
        <f t="shared" si="3"/>
        <v>0</v>
      </c>
    </row>
    <row r="21" spans="1:10">
      <c r="A21" s="1"/>
      <c r="B21" s="1"/>
      <c r="C21" s="1"/>
      <c r="D21" s="1"/>
      <c r="E21" s="288"/>
      <c r="F21" s="288"/>
      <c r="G21" s="288">
        <f t="shared" si="0"/>
        <v>0</v>
      </c>
      <c r="H21" s="288">
        <f t="shared" si="1"/>
        <v>0</v>
      </c>
      <c r="I21" s="288">
        <f t="shared" si="2"/>
        <v>0</v>
      </c>
      <c r="J21" s="288">
        <f t="shared" si="3"/>
        <v>0</v>
      </c>
    </row>
    <row r="22" spans="1:10">
      <c r="A22" s="1"/>
      <c r="B22" s="1"/>
      <c r="C22" s="1"/>
      <c r="D22" s="1"/>
      <c r="E22" s="288">
        <v>45</v>
      </c>
      <c r="F22" s="288"/>
      <c r="G22" s="288"/>
      <c r="H22" s="288"/>
      <c r="I22" s="288"/>
      <c r="J22" s="288"/>
    </row>
    <row r="23" spans="1:10" ht="15.75" thickBot="1">
      <c r="A23" s="2"/>
      <c r="B23" s="2"/>
      <c r="C23" s="2"/>
      <c r="D23" s="79">
        <f t="shared" ref="D23:J23" si="4">SUM(D8:D21)</f>
        <v>0</v>
      </c>
      <c r="E23" s="79">
        <f t="shared" si="4"/>
        <v>250</v>
      </c>
      <c r="F23" s="79">
        <f t="shared" si="4"/>
        <v>4704.21</v>
      </c>
      <c r="G23" s="79">
        <f t="shared" si="4"/>
        <v>564.50519999999995</v>
      </c>
      <c r="H23" s="79">
        <f t="shared" si="4"/>
        <v>5518.7152000000006</v>
      </c>
      <c r="I23" s="79">
        <f t="shared" si="4"/>
        <v>470.42100000000005</v>
      </c>
      <c r="J23" s="79">
        <f t="shared" si="4"/>
        <v>564.50519999999995</v>
      </c>
    </row>
    <row r="24" spans="1:10">
      <c r="A24" s="1"/>
      <c r="B24" s="1"/>
      <c r="C24" s="1"/>
      <c r="D24" s="1"/>
      <c r="E24" s="4"/>
      <c r="F24" s="4"/>
      <c r="G24" s="1"/>
      <c r="H24" s="1"/>
      <c r="I24" s="1"/>
    </row>
    <row r="25" spans="1:10">
      <c r="A25" s="2" t="s">
        <v>6</v>
      </c>
      <c r="B25" s="1"/>
      <c r="C25" s="1"/>
      <c r="D25" s="1"/>
      <c r="E25" s="1"/>
      <c r="F25" s="1"/>
      <c r="G25" s="1"/>
      <c r="H25" s="1"/>
      <c r="I25" s="3"/>
    </row>
    <row r="26" spans="1:10" ht="15.75" thickBot="1">
      <c r="A26" s="1"/>
      <c r="B26" s="3"/>
      <c r="C26" s="3"/>
      <c r="D26" s="3"/>
      <c r="E26" s="3"/>
      <c r="F26" s="3"/>
      <c r="G26" s="3"/>
      <c r="H26" s="3"/>
      <c r="I26" s="4"/>
    </row>
    <row r="27" spans="1:10" ht="16.5" thickTop="1" thickBot="1">
      <c r="A27" s="1" t="s">
        <v>1</v>
      </c>
      <c r="B27" s="38" t="s">
        <v>2</v>
      </c>
      <c r="C27" s="38" t="s">
        <v>3</v>
      </c>
      <c r="D27" s="38" t="s">
        <v>7</v>
      </c>
      <c r="E27" s="38" t="s">
        <v>8</v>
      </c>
      <c r="F27" s="38" t="s">
        <v>4</v>
      </c>
      <c r="G27" s="38" t="s">
        <v>5</v>
      </c>
      <c r="I27" s="4"/>
    </row>
    <row r="28" spans="1:10" ht="15.75" thickTop="1">
      <c r="A28" s="1"/>
      <c r="B28" s="255">
        <v>535010</v>
      </c>
      <c r="C28" s="256" t="s">
        <v>304</v>
      </c>
      <c r="D28" s="203"/>
      <c r="E28" s="293">
        <v>17.02</v>
      </c>
      <c r="F28" s="288">
        <f>E28*0.12</f>
        <v>2.0423999999999998</v>
      </c>
      <c r="G28" s="288">
        <f>+D28+E28+F28</f>
        <v>19.0624</v>
      </c>
    </row>
    <row r="29" spans="1:10">
      <c r="A29" s="1"/>
      <c r="B29" s="255">
        <v>685248</v>
      </c>
      <c r="C29" s="256" t="s">
        <v>319</v>
      </c>
      <c r="D29" s="203"/>
      <c r="E29" s="293">
        <v>8.93</v>
      </c>
      <c r="F29" s="288">
        <f t="shared" ref="F29:F34" si="5">E29*0.12</f>
        <v>1.0715999999999999</v>
      </c>
      <c r="G29" s="288">
        <f t="shared" ref="G29:G34" si="6">+D29+E29+F29</f>
        <v>10.0016</v>
      </c>
      <c r="I29" s="4"/>
    </row>
    <row r="30" spans="1:10">
      <c r="A30" s="1"/>
      <c r="B30" s="255">
        <v>75399</v>
      </c>
      <c r="C30" s="256" t="s">
        <v>320</v>
      </c>
      <c r="D30" s="203"/>
      <c r="E30" s="293">
        <v>22.3</v>
      </c>
      <c r="F30" s="288">
        <f t="shared" si="5"/>
        <v>2.6760000000000002</v>
      </c>
      <c r="G30" s="288">
        <f t="shared" si="6"/>
        <v>24.975999999999999</v>
      </c>
      <c r="I30" s="4"/>
    </row>
    <row r="31" spans="1:10">
      <c r="A31" s="1"/>
      <c r="B31" s="255">
        <v>50135</v>
      </c>
      <c r="C31" s="256" t="s">
        <v>321</v>
      </c>
      <c r="D31" s="203"/>
      <c r="E31" s="293">
        <v>34.549999999999997</v>
      </c>
      <c r="F31" s="288">
        <f t="shared" si="5"/>
        <v>4.1459999999999999</v>
      </c>
      <c r="G31" s="288">
        <f t="shared" si="6"/>
        <v>38.695999999999998</v>
      </c>
      <c r="I31" s="4"/>
    </row>
    <row r="32" spans="1:10">
      <c r="A32" s="1"/>
      <c r="B32" s="255">
        <v>30198</v>
      </c>
      <c r="C32" s="256" t="s">
        <v>321</v>
      </c>
      <c r="D32" s="203"/>
      <c r="E32" s="293">
        <v>18.670000000000002</v>
      </c>
      <c r="F32" s="288">
        <f t="shared" si="5"/>
        <v>2.2404000000000002</v>
      </c>
      <c r="G32" s="288">
        <f t="shared" si="6"/>
        <v>20.910400000000003</v>
      </c>
      <c r="I32" s="4"/>
    </row>
    <row r="33" spans="1:9">
      <c r="A33" s="1"/>
      <c r="B33" s="255"/>
      <c r="C33" s="256"/>
      <c r="D33" s="203"/>
      <c r="E33" s="293"/>
      <c r="F33" s="288">
        <f t="shared" si="5"/>
        <v>0</v>
      </c>
      <c r="G33" s="288">
        <f t="shared" si="6"/>
        <v>0</v>
      </c>
      <c r="I33" s="4"/>
    </row>
    <row r="34" spans="1:9">
      <c r="A34" s="1"/>
      <c r="B34" s="255"/>
      <c r="C34" s="256"/>
      <c r="D34" s="203"/>
      <c r="E34" s="293"/>
      <c r="F34" s="288">
        <f t="shared" si="5"/>
        <v>0</v>
      </c>
      <c r="G34" s="288">
        <f t="shared" si="6"/>
        <v>0</v>
      </c>
      <c r="I34" s="4"/>
    </row>
    <row r="35" spans="1:9" ht="15.75" thickBot="1">
      <c r="A35" s="2"/>
      <c r="B35" s="206"/>
      <c r="C35" s="2"/>
      <c r="D35" s="79">
        <f>SUM(D28:D32)</f>
        <v>0</v>
      </c>
      <c r="E35" s="79">
        <f>SUM(E28:E32)</f>
        <v>101.47</v>
      </c>
      <c r="F35" s="79">
        <f>SUM(F28:F32)</f>
        <v>12.176400000000001</v>
      </c>
      <c r="G35" s="79">
        <f>SUM(G28:G32)</f>
        <v>113.6464</v>
      </c>
    </row>
    <row r="36" spans="1:9">
      <c r="A36" s="2"/>
      <c r="B36" s="2"/>
      <c r="C36" s="2"/>
      <c r="D36" s="2"/>
      <c r="E36" s="10"/>
      <c r="F36" s="10"/>
      <c r="G36" s="10"/>
      <c r="H36" s="10"/>
      <c r="I36" s="10"/>
    </row>
    <row r="37" spans="1:9">
      <c r="A37" s="2"/>
      <c r="B37" s="2"/>
      <c r="C37" s="2"/>
      <c r="D37" s="2"/>
      <c r="E37" s="10"/>
      <c r="F37" s="10"/>
      <c r="G37" s="10"/>
      <c r="H37" s="10"/>
      <c r="I37" s="10"/>
    </row>
    <row r="39" spans="1:9">
      <c r="A39" s="1"/>
      <c r="B39" s="1"/>
      <c r="C39" s="1" t="s">
        <v>225</v>
      </c>
      <c r="D39" s="1"/>
      <c r="F39" s="11">
        <f>+F23</f>
        <v>4704.21</v>
      </c>
      <c r="G39" s="7">
        <v>0.12</v>
      </c>
      <c r="H39" s="4">
        <f>+F39*G39</f>
        <v>564.50519999999995</v>
      </c>
      <c r="I39" s="1"/>
    </row>
    <row r="40" spans="1:9">
      <c r="A40" s="1"/>
      <c r="B40" s="1"/>
      <c r="C40" s="1" t="s">
        <v>42</v>
      </c>
      <c r="D40" s="1"/>
      <c r="F40" s="11">
        <f>+E23</f>
        <v>250</v>
      </c>
      <c r="G40" s="1"/>
      <c r="H40" s="4"/>
      <c r="I40" s="1"/>
    </row>
    <row r="41" spans="1:9">
      <c r="A41" s="1"/>
      <c r="B41" s="1"/>
      <c r="C41" s="1" t="s">
        <v>54</v>
      </c>
      <c r="D41" s="1"/>
      <c r="F41" s="80">
        <f>+D23</f>
        <v>0</v>
      </c>
      <c r="G41" s="7"/>
      <c r="H41" s="9"/>
      <c r="I41" s="1"/>
    </row>
    <row r="42" spans="1:9">
      <c r="A42" s="1"/>
      <c r="B42" s="1"/>
      <c r="C42" s="2" t="s">
        <v>73</v>
      </c>
      <c r="D42" s="2"/>
      <c r="E42" s="22"/>
      <c r="F42" s="81">
        <f>SUM(F39:F41)</f>
        <v>4954.21</v>
      </c>
      <c r="G42" s="5"/>
      <c r="H42" s="5">
        <f>SUM(H39:H41)</f>
        <v>564.50519999999995</v>
      </c>
      <c r="I42" s="1"/>
    </row>
    <row r="43" spans="1:9">
      <c r="A43" s="1"/>
      <c r="B43" s="1"/>
      <c r="C43" s="2"/>
      <c r="D43" s="2"/>
      <c r="E43" s="22"/>
      <c r="F43" s="81"/>
      <c r="G43" s="5"/>
      <c r="H43" s="5"/>
      <c r="I43" s="1"/>
    </row>
    <row r="44" spans="1:9">
      <c r="A44" s="1"/>
      <c r="B44" s="1"/>
      <c r="C44" s="177" t="s">
        <v>222</v>
      </c>
      <c r="D44" s="178"/>
      <c r="E44" s="179"/>
      <c r="F44" s="209">
        <f>+F39/F42</f>
        <v>0.94953786779325056</v>
      </c>
      <c r="G44" s="5"/>
      <c r="H44" s="5"/>
      <c r="I44" s="1"/>
    </row>
    <row r="45" spans="1:9">
      <c r="A45" s="1"/>
      <c r="B45" s="1"/>
      <c r="C45" s="1"/>
      <c r="D45" s="1"/>
      <c r="F45" s="4"/>
      <c r="G45" s="1"/>
      <c r="H45" s="4"/>
      <c r="I45" s="1"/>
    </row>
    <row r="46" spans="1:9">
      <c r="A46" s="1"/>
      <c r="B46" s="1"/>
      <c r="C46" s="1" t="s">
        <v>10</v>
      </c>
      <c r="D46" s="1"/>
      <c r="F46" s="11">
        <f>+D35</f>
        <v>0</v>
      </c>
      <c r="G46" s="1"/>
      <c r="H46" s="11">
        <v>0</v>
      </c>
      <c r="I46" s="1"/>
    </row>
    <row r="47" spans="1:9">
      <c r="A47" s="1"/>
      <c r="B47" s="1"/>
      <c r="C47" s="1" t="s">
        <v>11</v>
      </c>
      <c r="D47" s="1"/>
      <c r="F47" s="80">
        <f>+E35</f>
        <v>101.47</v>
      </c>
      <c r="G47" s="7">
        <v>0.12</v>
      </c>
      <c r="H47" s="80">
        <f>+F47*G47</f>
        <v>12.176399999999999</v>
      </c>
      <c r="I47" s="1"/>
    </row>
    <row r="48" spans="1:9">
      <c r="A48" s="1"/>
      <c r="B48" s="1"/>
      <c r="C48" s="2" t="s">
        <v>72</v>
      </c>
      <c r="D48" s="2"/>
      <c r="E48" s="22"/>
      <c r="F48" s="81">
        <f>SUM(F46:F47)</f>
        <v>101.47</v>
      </c>
      <c r="G48" s="5"/>
      <c r="H48" s="81">
        <f>SUM(H46:H47)</f>
        <v>12.176399999999999</v>
      </c>
      <c r="I48" s="1"/>
    </row>
    <row r="49" spans="1:10">
      <c r="A49" s="1"/>
      <c r="B49" s="1"/>
      <c r="C49" s="2" t="s">
        <v>223</v>
      </c>
      <c r="D49" s="2"/>
      <c r="E49" s="22"/>
      <c r="F49" s="81"/>
      <c r="G49" s="5"/>
      <c r="H49" s="81">
        <f>+H48*F44-0.01</f>
        <v>11.551952893397736</v>
      </c>
      <c r="I49" s="1"/>
    </row>
    <row r="50" spans="1:10">
      <c r="A50" s="1"/>
      <c r="B50" s="1"/>
      <c r="C50" s="2"/>
      <c r="D50" s="2"/>
      <c r="E50" s="22"/>
      <c r="F50" s="5"/>
      <c r="G50" s="5"/>
      <c r="H50" s="5"/>
      <c r="I50" s="1"/>
    </row>
    <row r="51" spans="1:10">
      <c r="A51" s="1"/>
      <c r="B51" s="1"/>
      <c r="C51" s="1"/>
      <c r="D51" s="1"/>
      <c r="F51" s="4"/>
      <c r="G51" s="1"/>
      <c r="H51" s="4"/>
      <c r="I51" s="1"/>
    </row>
    <row r="52" spans="1:10">
      <c r="A52" s="1"/>
      <c r="B52" s="1"/>
      <c r="C52" s="68" t="s">
        <v>70</v>
      </c>
      <c r="D52" s="1"/>
      <c r="F52" s="1"/>
      <c r="G52" s="1"/>
      <c r="H52" s="84">
        <f>+H42-H49</f>
        <v>552.95324710660225</v>
      </c>
      <c r="I52" s="1"/>
    </row>
    <row r="53" spans="1:10">
      <c r="A53" s="1"/>
      <c r="B53" s="1"/>
      <c r="C53" s="1"/>
      <c r="D53" s="1"/>
      <c r="F53" s="1"/>
      <c r="G53" s="1"/>
      <c r="H53" s="11"/>
      <c r="I53" s="1"/>
    </row>
    <row r="54" spans="1:10">
      <c r="A54" s="1"/>
      <c r="B54" s="1"/>
      <c r="C54" s="1" t="s">
        <v>13</v>
      </c>
      <c r="D54" s="1"/>
      <c r="F54" s="1"/>
      <c r="G54" s="1"/>
      <c r="H54" s="11">
        <f>-J23</f>
        <v>-564.50519999999995</v>
      </c>
      <c r="I54" s="1"/>
    </row>
    <row r="55" spans="1:10">
      <c r="A55" s="1"/>
      <c r="B55" s="1"/>
      <c r="C55" s="1"/>
      <c r="D55" s="1"/>
      <c r="F55" s="1"/>
      <c r="G55" s="1"/>
      <c r="H55" s="11"/>
      <c r="I55" s="1"/>
    </row>
    <row r="56" spans="1:10">
      <c r="A56" s="1"/>
      <c r="B56" s="1"/>
      <c r="C56" s="68" t="s">
        <v>12</v>
      </c>
      <c r="D56" s="1"/>
      <c r="F56" s="1"/>
      <c r="G56" s="1"/>
      <c r="H56" s="84">
        <f>+H52+H54</f>
        <v>-11.551952893397697</v>
      </c>
      <c r="I56" s="1"/>
    </row>
    <row r="57" spans="1:10">
      <c r="C57" s="1"/>
      <c r="D57" s="1"/>
      <c r="F57" s="1"/>
      <c r="G57" s="1"/>
      <c r="H57" s="11"/>
      <c r="I57" s="1"/>
    </row>
    <row r="58" spans="1:10" ht="15.75">
      <c r="C58" s="70" t="s">
        <v>74</v>
      </c>
      <c r="E58" s="74" t="s">
        <v>75</v>
      </c>
      <c r="F58" s="71">
        <v>605</v>
      </c>
      <c r="H58" s="192">
        <v>0</v>
      </c>
      <c r="I58" s="1"/>
    </row>
    <row r="59" spans="1:10" ht="15.75">
      <c r="C59" s="70" t="s">
        <v>74</v>
      </c>
      <c r="E59" s="74" t="s">
        <v>76</v>
      </c>
      <c r="F59" s="71">
        <v>606</v>
      </c>
      <c r="H59" s="192">
        <f>+JULIO!H65</f>
        <v>3727.6955636125854</v>
      </c>
      <c r="I59" s="1"/>
    </row>
    <row r="60" spans="1:10" ht="15.75">
      <c r="C60" s="70"/>
      <c r="F60" s="71"/>
      <c r="H60" s="193"/>
      <c r="J60" s="17"/>
    </row>
    <row r="61" spans="1:10" ht="15.75">
      <c r="C61" s="70"/>
      <c r="F61" s="71"/>
      <c r="H61" s="193"/>
      <c r="I61" s="1"/>
    </row>
    <row r="62" spans="1:10" ht="15.75">
      <c r="C62" s="70" t="s">
        <v>77</v>
      </c>
      <c r="F62" s="71">
        <v>615</v>
      </c>
      <c r="H62" s="193">
        <v>0</v>
      </c>
    </row>
    <row r="63" spans="1:10" ht="15.75">
      <c r="C63" s="70" t="s">
        <v>77</v>
      </c>
      <c r="F63" s="71">
        <v>617</v>
      </c>
      <c r="H63" s="192">
        <f>+H56+H59</f>
        <v>3716.1436107191876</v>
      </c>
    </row>
    <row r="64" spans="1:10">
      <c r="H64" s="15"/>
    </row>
    <row r="65" spans="3:8">
      <c r="C65" s="154" t="s">
        <v>153</v>
      </c>
      <c r="H65" s="153"/>
    </row>
  </sheetData>
  <sortState ref="A19:H29">
    <sortCondition ref="D19:D29"/>
  </sortState>
  <pageMargins left="0.70866141732283472" right="0.70866141732283472" top="0.74803149606299213" bottom="0.74803149606299213" header="0.31496062992125984" footer="0.31496062992125984"/>
  <pageSetup paperSize="9" scale="63" orientation="portrait" verticalDpi="7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CCFF99"/>
    <pageSetUpPr fitToPage="1"/>
  </sheetPr>
  <dimension ref="A1:J63"/>
  <sheetViews>
    <sheetView topLeftCell="A13" zoomScale="90" zoomScaleNormal="90" workbookViewId="0">
      <selection activeCell="F19" sqref="F19"/>
    </sheetView>
  </sheetViews>
  <sheetFormatPr baseColWidth="10" defaultRowHeight="15"/>
  <cols>
    <col min="1" max="1" width="8.140625" customWidth="1"/>
    <col min="2" max="2" width="16.140625" customWidth="1"/>
    <col min="3" max="3" width="39.28515625" bestFit="1" customWidth="1"/>
    <col min="4" max="4" width="12.5703125" bestFit="1" customWidth="1"/>
    <col min="9" max="9" width="13.85546875" customWidth="1"/>
    <col min="10" max="10" width="14" customWidth="1"/>
  </cols>
  <sheetData>
    <row r="1" spans="1:10">
      <c r="A1" s="2"/>
      <c r="B1" s="1"/>
      <c r="C1" s="1"/>
      <c r="D1" s="1"/>
      <c r="E1" s="4"/>
      <c r="F1" s="4"/>
      <c r="G1" s="4"/>
      <c r="H1" s="4"/>
      <c r="I1" s="4"/>
    </row>
    <row r="2" spans="1:10" ht="15.75" thickBot="1">
      <c r="A2" s="2" t="s">
        <v>71</v>
      </c>
      <c r="B2" s="1"/>
      <c r="C2" s="1"/>
      <c r="D2" s="1"/>
      <c r="E2" s="4"/>
      <c r="F2" s="4"/>
      <c r="G2" s="4"/>
      <c r="H2" s="4"/>
      <c r="I2" s="4"/>
    </row>
    <row r="3" spans="1:10" ht="15.75" thickBot="1">
      <c r="A3" s="268" t="s">
        <v>270</v>
      </c>
      <c r="B3" s="269"/>
      <c r="C3" s="1"/>
      <c r="D3" s="1"/>
      <c r="E3" s="1"/>
      <c r="F3" s="1"/>
      <c r="G3" s="1"/>
      <c r="H3" s="1"/>
      <c r="I3" s="1"/>
    </row>
    <row r="4" spans="1:10">
      <c r="A4" s="6"/>
      <c r="B4" s="1"/>
      <c r="C4" s="1"/>
      <c r="D4" s="1"/>
      <c r="E4" s="1"/>
      <c r="F4" s="1"/>
      <c r="G4" s="1"/>
      <c r="H4" s="1"/>
      <c r="I4" s="1"/>
    </row>
    <row r="5" spans="1:10">
      <c r="A5" s="2" t="s">
        <v>0</v>
      </c>
      <c r="B5" s="1"/>
      <c r="C5" s="1"/>
      <c r="D5" s="1"/>
      <c r="E5" s="1"/>
      <c r="F5" s="1"/>
      <c r="G5" s="1"/>
      <c r="H5" s="1"/>
      <c r="I5" s="1"/>
    </row>
    <row r="6" spans="1:10" ht="15.75" thickBot="1">
      <c r="A6" s="1"/>
      <c r="B6" s="3"/>
      <c r="C6" s="3"/>
      <c r="D6" s="3"/>
      <c r="E6" s="12"/>
      <c r="F6" s="12"/>
      <c r="G6" s="12"/>
      <c r="H6" s="12"/>
      <c r="I6" s="12"/>
    </row>
    <row r="7" spans="1:10" ht="25.5" thickTop="1" thickBot="1">
      <c r="A7" s="1" t="s">
        <v>1</v>
      </c>
      <c r="B7" s="38" t="s">
        <v>2</v>
      </c>
      <c r="C7" s="38" t="s">
        <v>3</v>
      </c>
      <c r="D7" s="38" t="s">
        <v>54</v>
      </c>
      <c r="E7" s="38" t="s">
        <v>52</v>
      </c>
      <c r="F7" s="38" t="s">
        <v>49</v>
      </c>
      <c r="G7" s="38" t="s">
        <v>4</v>
      </c>
      <c r="H7" s="38" t="s">
        <v>9</v>
      </c>
      <c r="I7" s="38" t="s">
        <v>50</v>
      </c>
      <c r="J7" s="38" t="s">
        <v>51</v>
      </c>
    </row>
    <row r="8" spans="1:10" ht="15.75" thickTop="1">
      <c r="A8" s="1"/>
      <c r="B8" s="1">
        <v>1363</v>
      </c>
      <c r="C8" s="1" t="s">
        <v>284</v>
      </c>
      <c r="D8" s="1"/>
      <c r="E8" s="11"/>
      <c r="F8" s="11">
        <v>1444.44</v>
      </c>
      <c r="G8" s="11">
        <f>+F8*0.12</f>
        <v>173.33279999999999</v>
      </c>
      <c r="H8" s="11">
        <f>+D8+E8+F8+G8</f>
        <v>1617.7728</v>
      </c>
      <c r="I8" s="11">
        <f>+F8*10%</f>
        <v>144.44400000000002</v>
      </c>
      <c r="J8" s="11">
        <f>+G8*100%</f>
        <v>173.33279999999999</v>
      </c>
    </row>
    <row r="9" spans="1:10">
      <c r="A9" s="1"/>
      <c r="B9" s="1">
        <v>1364</v>
      </c>
      <c r="C9" s="1" t="s">
        <v>255</v>
      </c>
      <c r="D9" s="1"/>
      <c r="E9" s="11"/>
      <c r="F9" s="11">
        <v>1320</v>
      </c>
      <c r="G9" s="11">
        <f t="shared" ref="G9:G21" si="0">+F9*0.12</f>
        <v>158.4</v>
      </c>
      <c r="H9" s="11">
        <f t="shared" ref="H9:H21" si="1">+D9+E9+F9+G9</f>
        <v>1478.4</v>
      </c>
      <c r="I9" s="11">
        <f t="shared" ref="I9:I18" si="2">+F9*10%</f>
        <v>132</v>
      </c>
      <c r="J9" s="11">
        <f t="shared" ref="J9:J21" si="3">+G9*100%</f>
        <v>158.4</v>
      </c>
    </row>
    <row r="10" spans="1:10">
      <c r="A10" s="1"/>
      <c r="B10" s="1">
        <v>1365</v>
      </c>
      <c r="C10" s="1" t="s">
        <v>227</v>
      </c>
      <c r="D10" s="1"/>
      <c r="E10" s="11"/>
      <c r="F10" s="11">
        <v>354.44</v>
      </c>
      <c r="G10" s="11">
        <f t="shared" si="0"/>
        <v>42.532799999999995</v>
      </c>
      <c r="H10" s="11">
        <f t="shared" si="1"/>
        <v>396.97280000000001</v>
      </c>
      <c r="I10" s="11">
        <f t="shared" si="2"/>
        <v>35.444000000000003</v>
      </c>
      <c r="J10" s="11">
        <f t="shared" si="3"/>
        <v>42.532799999999995</v>
      </c>
    </row>
    <row r="11" spans="1:10">
      <c r="A11" s="1"/>
      <c r="B11" s="1">
        <v>1366</v>
      </c>
      <c r="C11" s="1" t="s">
        <v>322</v>
      </c>
      <c r="D11" s="1"/>
      <c r="E11" s="11"/>
      <c r="F11" s="11">
        <v>491.99</v>
      </c>
      <c r="G11" s="11">
        <f t="shared" si="0"/>
        <v>59.038800000000002</v>
      </c>
      <c r="H11" s="11">
        <f t="shared" si="1"/>
        <v>551.02880000000005</v>
      </c>
      <c r="I11" s="11">
        <f>+F11*8%</f>
        <v>39.359200000000001</v>
      </c>
      <c r="J11" s="11">
        <f t="shared" si="3"/>
        <v>59.038800000000002</v>
      </c>
    </row>
    <row r="12" spans="1:10">
      <c r="A12" s="1"/>
      <c r="B12" s="1">
        <v>1367</v>
      </c>
      <c r="C12" s="1" t="s">
        <v>286</v>
      </c>
      <c r="D12" s="1"/>
      <c r="E12" s="11"/>
      <c r="F12" s="11">
        <v>200</v>
      </c>
      <c r="G12" s="11">
        <f t="shared" si="0"/>
        <v>24</v>
      </c>
      <c r="H12" s="11">
        <f t="shared" si="1"/>
        <v>224</v>
      </c>
      <c r="I12" s="11">
        <v>0</v>
      </c>
      <c r="J12" s="11">
        <v>0</v>
      </c>
    </row>
    <row r="13" spans="1:10">
      <c r="A13" s="1"/>
      <c r="B13" s="1">
        <v>1368</v>
      </c>
      <c r="C13" s="1" t="s">
        <v>287</v>
      </c>
      <c r="D13" s="1"/>
      <c r="E13" s="11"/>
      <c r="F13" s="11">
        <v>100</v>
      </c>
      <c r="G13" s="11">
        <f t="shared" si="0"/>
        <v>12</v>
      </c>
      <c r="H13" s="11">
        <f t="shared" si="1"/>
        <v>112</v>
      </c>
      <c r="I13" s="11">
        <v>0</v>
      </c>
      <c r="J13" s="11">
        <v>0</v>
      </c>
    </row>
    <row r="14" spans="1:10">
      <c r="A14" s="1"/>
      <c r="B14" s="1">
        <v>1369</v>
      </c>
      <c r="C14" s="1" t="s">
        <v>294</v>
      </c>
      <c r="D14" s="1"/>
      <c r="E14" s="11"/>
      <c r="F14" s="11">
        <v>80</v>
      </c>
      <c r="G14" s="11">
        <f t="shared" si="0"/>
        <v>9.6</v>
      </c>
      <c r="H14" s="11">
        <f t="shared" si="1"/>
        <v>89.6</v>
      </c>
      <c r="I14" s="11">
        <v>0</v>
      </c>
      <c r="J14" s="11">
        <v>0</v>
      </c>
    </row>
    <row r="15" spans="1:10">
      <c r="A15" s="1"/>
      <c r="B15" s="1">
        <v>1370</v>
      </c>
      <c r="C15" s="1" t="s">
        <v>312</v>
      </c>
      <c r="D15" s="1"/>
      <c r="E15" s="11"/>
      <c r="F15" s="11">
        <v>122.23</v>
      </c>
      <c r="G15" s="11">
        <f t="shared" si="0"/>
        <v>14.6676</v>
      </c>
      <c r="H15" s="11">
        <f t="shared" si="1"/>
        <v>136.89760000000001</v>
      </c>
      <c r="I15" s="11">
        <f t="shared" si="2"/>
        <v>12.223000000000001</v>
      </c>
      <c r="J15" s="11">
        <f t="shared" si="3"/>
        <v>14.6676</v>
      </c>
    </row>
    <row r="16" spans="1:10">
      <c r="A16" s="1"/>
      <c r="B16" s="1">
        <v>1371</v>
      </c>
      <c r="C16" s="1" t="s">
        <v>303</v>
      </c>
      <c r="D16" s="1"/>
      <c r="E16" s="11"/>
      <c r="F16" s="11">
        <v>611.11</v>
      </c>
      <c r="G16" s="11">
        <f t="shared" si="0"/>
        <v>73.333200000000005</v>
      </c>
      <c r="H16" s="11">
        <f t="shared" si="1"/>
        <v>684.44320000000005</v>
      </c>
      <c r="I16" s="11">
        <f t="shared" si="2"/>
        <v>61.111000000000004</v>
      </c>
      <c r="J16" s="11">
        <f t="shared" si="3"/>
        <v>73.333200000000005</v>
      </c>
    </row>
    <row r="17" spans="1:10">
      <c r="A17" s="1"/>
      <c r="B17" s="1">
        <v>1372</v>
      </c>
      <c r="C17" s="1" t="s">
        <v>318</v>
      </c>
      <c r="D17" s="1"/>
      <c r="E17" s="11">
        <v>250</v>
      </c>
      <c r="F17" s="11">
        <v>0</v>
      </c>
      <c r="G17" s="11">
        <f t="shared" si="0"/>
        <v>0</v>
      </c>
      <c r="H17" s="11">
        <f t="shared" si="1"/>
        <v>250</v>
      </c>
      <c r="I17" s="11">
        <v>0</v>
      </c>
      <c r="J17" s="11">
        <v>0</v>
      </c>
    </row>
    <row r="18" spans="1:10">
      <c r="A18" s="1"/>
      <c r="B18" s="1">
        <v>1373</v>
      </c>
      <c r="C18" s="1" t="s">
        <v>323</v>
      </c>
      <c r="D18" s="1"/>
      <c r="E18" s="11"/>
      <c r="F18" s="11">
        <v>0</v>
      </c>
      <c r="G18" s="11">
        <f t="shared" si="0"/>
        <v>0</v>
      </c>
      <c r="H18" s="11">
        <f t="shared" si="1"/>
        <v>0</v>
      </c>
      <c r="I18" s="11">
        <f t="shared" si="2"/>
        <v>0</v>
      </c>
      <c r="J18" s="11">
        <f t="shared" si="3"/>
        <v>0</v>
      </c>
    </row>
    <row r="19" spans="1:10">
      <c r="A19" s="1"/>
      <c r="B19" s="1">
        <v>1374</v>
      </c>
      <c r="C19" s="1" t="s">
        <v>323</v>
      </c>
      <c r="D19" s="1"/>
      <c r="E19" s="11"/>
      <c r="F19" s="11">
        <v>0</v>
      </c>
      <c r="G19" s="11">
        <f t="shared" si="0"/>
        <v>0</v>
      </c>
      <c r="H19" s="11">
        <f t="shared" si="1"/>
        <v>0</v>
      </c>
      <c r="I19" s="11">
        <v>0</v>
      </c>
      <c r="J19" s="11">
        <v>0</v>
      </c>
    </row>
    <row r="20" spans="1:10">
      <c r="A20" s="1"/>
      <c r="B20" s="1">
        <v>1375</v>
      </c>
      <c r="C20" s="1" t="s">
        <v>323</v>
      </c>
      <c r="D20" s="1"/>
      <c r="E20" s="11"/>
      <c r="F20" s="11">
        <v>0</v>
      </c>
      <c r="G20" s="11">
        <f t="shared" si="0"/>
        <v>0</v>
      </c>
      <c r="H20" s="11">
        <f t="shared" si="1"/>
        <v>0</v>
      </c>
      <c r="I20" s="11">
        <v>0</v>
      </c>
      <c r="J20" s="11">
        <v>0</v>
      </c>
    </row>
    <row r="21" spans="1:10">
      <c r="A21" s="1"/>
      <c r="B21" s="1">
        <v>1376</v>
      </c>
      <c r="C21" s="1" t="s">
        <v>229</v>
      </c>
      <c r="D21" s="1"/>
      <c r="E21" s="11"/>
      <c r="F21" s="11">
        <v>555.55999999999995</v>
      </c>
      <c r="G21" s="11">
        <f t="shared" si="0"/>
        <v>66.667199999999994</v>
      </c>
      <c r="H21" s="11">
        <f t="shared" si="1"/>
        <v>622.22719999999993</v>
      </c>
      <c r="I21" s="11">
        <f t="shared" ref="I21" si="4">+F21*10%</f>
        <v>55.555999999999997</v>
      </c>
      <c r="J21" s="11">
        <f t="shared" si="3"/>
        <v>66.667199999999994</v>
      </c>
    </row>
    <row r="22" spans="1:10" ht="15.75" thickBot="1">
      <c r="A22" s="2"/>
      <c r="B22" s="2"/>
      <c r="C22" s="2"/>
      <c r="D22" s="79">
        <f t="shared" ref="D22:J22" si="5">SUM(D8:D21)</f>
        <v>0</v>
      </c>
      <c r="E22" s="79">
        <f t="shared" si="5"/>
        <v>250</v>
      </c>
      <c r="F22" s="79">
        <f t="shared" si="5"/>
        <v>5279.7699999999986</v>
      </c>
      <c r="G22" s="79">
        <f t="shared" si="5"/>
        <v>633.57240000000002</v>
      </c>
      <c r="H22" s="79">
        <f t="shared" si="5"/>
        <v>6163.3424000000005</v>
      </c>
      <c r="I22" s="79">
        <f t="shared" si="5"/>
        <v>480.13720000000001</v>
      </c>
      <c r="J22" s="79">
        <f t="shared" si="5"/>
        <v>587.97239999999999</v>
      </c>
    </row>
    <row r="23" spans="1:10">
      <c r="A23" s="1"/>
      <c r="B23" s="1"/>
      <c r="C23" s="1"/>
      <c r="D23" s="1"/>
      <c r="E23" s="4"/>
      <c r="F23" s="4"/>
      <c r="G23" s="1"/>
      <c r="H23" s="1"/>
      <c r="I23" s="1"/>
    </row>
    <row r="24" spans="1:10">
      <c r="A24" s="2" t="s">
        <v>6</v>
      </c>
      <c r="B24" s="1"/>
      <c r="C24" s="1"/>
      <c r="D24" s="1"/>
      <c r="E24" s="1"/>
      <c r="F24" s="1"/>
      <c r="G24" s="1"/>
      <c r="H24" s="1"/>
      <c r="I24" s="3"/>
    </row>
    <row r="25" spans="1:10" ht="15.75" thickBot="1">
      <c r="A25" s="1"/>
      <c r="B25" s="3"/>
      <c r="C25" s="3"/>
      <c r="D25" s="3"/>
      <c r="E25" s="3"/>
      <c r="F25" s="3"/>
      <c r="G25" s="3"/>
      <c r="H25" s="3"/>
      <c r="I25" s="4"/>
    </row>
    <row r="26" spans="1:10" ht="24" customHeight="1" thickTop="1" thickBot="1">
      <c r="A26" s="1" t="s">
        <v>1</v>
      </c>
      <c r="B26" s="38" t="s">
        <v>2</v>
      </c>
      <c r="C26" s="38" t="s">
        <v>3</v>
      </c>
      <c r="D26" s="38" t="s">
        <v>7</v>
      </c>
      <c r="E26" s="38" t="s">
        <v>8</v>
      </c>
      <c r="F26" s="38" t="s">
        <v>4</v>
      </c>
      <c r="G26" s="38" t="s">
        <v>5</v>
      </c>
      <c r="I26" s="4"/>
    </row>
    <row r="27" spans="1:10" ht="15.75" thickTop="1">
      <c r="A27" s="1"/>
      <c r="B27" s="185">
        <v>151014</v>
      </c>
      <c r="C27" s="67" t="s">
        <v>274</v>
      </c>
      <c r="D27" s="189"/>
      <c r="E27" s="189">
        <v>5.55</v>
      </c>
      <c r="F27" s="11">
        <f>+E27*0.12</f>
        <v>0.66599999999999993</v>
      </c>
      <c r="G27" s="11">
        <f>+D27+E27+F27</f>
        <v>6.2159999999999993</v>
      </c>
    </row>
    <row r="28" spans="1:10">
      <c r="A28" s="1"/>
      <c r="B28" s="185">
        <v>3723</v>
      </c>
      <c r="C28" s="67" t="s">
        <v>324</v>
      </c>
      <c r="D28" s="189"/>
      <c r="E28" s="189">
        <v>3.13</v>
      </c>
      <c r="F28" s="11">
        <f t="shared" ref="F28:F33" si="6">+E28*0.12</f>
        <v>0.37559999999999999</v>
      </c>
      <c r="G28" s="11">
        <f t="shared" ref="G28:G33" si="7">+D28+E28+F28</f>
        <v>3.5055999999999998</v>
      </c>
      <c r="I28" s="4"/>
    </row>
    <row r="29" spans="1:10">
      <c r="A29" s="1"/>
      <c r="B29" s="185">
        <v>772.76</v>
      </c>
      <c r="C29" s="67" t="s">
        <v>325</v>
      </c>
      <c r="D29" s="189"/>
      <c r="E29" s="189">
        <v>6.25</v>
      </c>
      <c r="F29" s="11">
        <f t="shared" si="6"/>
        <v>0.75</v>
      </c>
      <c r="G29" s="11">
        <f t="shared" si="7"/>
        <v>7</v>
      </c>
      <c r="I29" s="4"/>
    </row>
    <row r="30" spans="1:10">
      <c r="A30" s="1"/>
      <c r="B30" s="185"/>
      <c r="C30" s="67"/>
      <c r="D30" s="189"/>
      <c r="E30" s="189"/>
      <c r="F30" s="11">
        <f t="shared" si="6"/>
        <v>0</v>
      </c>
      <c r="G30" s="11">
        <f t="shared" si="7"/>
        <v>0</v>
      </c>
      <c r="I30" s="4"/>
    </row>
    <row r="31" spans="1:10">
      <c r="A31" s="1"/>
      <c r="B31" s="185"/>
      <c r="C31" s="67"/>
      <c r="D31" s="189"/>
      <c r="E31" s="189"/>
      <c r="F31" s="11">
        <f t="shared" si="6"/>
        <v>0</v>
      </c>
      <c r="G31" s="11">
        <f t="shared" si="7"/>
        <v>0</v>
      </c>
      <c r="I31" s="4"/>
    </row>
    <row r="32" spans="1:10">
      <c r="A32" s="1"/>
      <c r="B32" s="185"/>
      <c r="C32" s="67"/>
      <c r="D32" s="189"/>
      <c r="E32" s="189"/>
      <c r="F32" s="11">
        <f t="shared" si="6"/>
        <v>0</v>
      </c>
      <c r="G32" s="11">
        <f t="shared" si="7"/>
        <v>0</v>
      </c>
      <c r="I32" s="4"/>
    </row>
    <row r="33" spans="1:9">
      <c r="A33" s="1"/>
      <c r="B33" s="185"/>
      <c r="C33" s="67"/>
      <c r="D33" s="189"/>
      <c r="E33" s="189"/>
      <c r="F33" s="11">
        <f t="shared" si="6"/>
        <v>0</v>
      </c>
      <c r="G33" s="11">
        <f t="shared" si="7"/>
        <v>0</v>
      </c>
      <c r="I33" s="4"/>
    </row>
    <row r="34" spans="1:9" ht="15.75" thickBot="1">
      <c r="A34" s="2"/>
      <c r="B34" s="206"/>
      <c r="C34" s="2"/>
      <c r="D34" s="79">
        <f>SUM(D27:D33)</f>
        <v>0</v>
      </c>
      <c r="E34" s="79">
        <f>SUM(E27:E33)</f>
        <v>14.93</v>
      </c>
      <c r="F34" s="79">
        <f>SUM(F27:F33)</f>
        <v>1.7915999999999999</v>
      </c>
      <c r="G34" s="79">
        <f>SUM(G27:G33)</f>
        <v>16.721599999999999</v>
      </c>
    </row>
    <row r="35" spans="1:9">
      <c r="A35" s="2"/>
      <c r="B35" s="2"/>
      <c r="C35" s="2"/>
      <c r="D35" s="2"/>
      <c r="E35" s="10"/>
      <c r="F35" s="10"/>
      <c r="G35" s="10"/>
      <c r="H35" s="10"/>
      <c r="I35" s="10"/>
    </row>
    <row r="36" spans="1:9">
      <c r="A36" s="2"/>
      <c r="B36" s="2"/>
      <c r="C36" s="2"/>
      <c r="D36" s="2"/>
      <c r="E36" s="10"/>
      <c r="F36" s="10"/>
      <c r="G36" s="10"/>
      <c r="H36" s="10"/>
      <c r="I36" s="10"/>
    </row>
    <row r="38" spans="1:9">
      <c r="A38" s="1"/>
      <c r="B38" s="1"/>
      <c r="C38" s="1" t="s">
        <v>78</v>
      </c>
      <c r="D38" s="1"/>
      <c r="F38" s="11">
        <f>+F22</f>
        <v>5279.7699999999986</v>
      </c>
      <c r="G38" s="7">
        <v>0.12</v>
      </c>
      <c r="H38" s="11">
        <f>+F38*G38</f>
        <v>633.57239999999979</v>
      </c>
      <c r="I38" s="1"/>
    </row>
    <row r="39" spans="1:9">
      <c r="A39" s="1"/>
      <c r="B39" s="1"/>
      <c r="C39" s="1" t="s">
        <v>42</v>
      </c>
      <c r="D39" s="1"/>
      <c r="F39" s="11">
        <f>+E22</f>
        <v>250</v>
      </c>
      <c r="G39" s="1"/>
      <c r="H39" s="11"/>
      <c r="I39" s="1"/>
    </row>
    <row r="40" spans="1:9">
      <c r="A40" s="1"/>
      <c r="B40" s="1"/>
      <c r="C40" s="1" t="s">
        <v>54</v>
      </c>
      <c r="D40" s="1"/>
      <c r="F40" s="80">
        <f>+D22</f>
        <v>0</v>
      </c>
      <c r="G40" s="7"/>
      <c r="H40" s="80"/>
      <c r="I40" s="1"/>
    </row>
    <row r="41" spans="1:9">
      <c r="A41" s="1"/>
      <c r="B41" s="1"/>
      <c r="C41" s="2" t="s">
        <v>73</v>
      </c>
      <c r="D41" s="2"/>
      <c r="E41" s="22"/>
      <c r="F41" s="81">
        <f>SUM(F38:F40)</f>
        <v>5529.7699999999986</v>
      </c>
      <c r="G41" s="5"/>
      <c r="H41" s="81">
        <f>SUM(H38:H40)</f>
        <v>633.57239999999979</v>
      </c>
      <c r="I41" s="1"/>
    </row>
    <row r="42" spans="1:9">
      <c r="A42" s="1"/>
      <c r="B42" s="1"/>
      <c r="C42" s="2"/>
      <c r="D42" s="2"/>
      <c r="E42" s="22"/>
      <c r="F42" s="81"/>
      <c r="G42" s="5"/>
      <c r="H42" s="81"/>
      <c r="I42" s="1"/>
    </row>
    <row r="43" spans="1:9">
      <c r="A43" s="1"/>
      <c r="B43" s="1"/>
      <c r="C43" s="177" t="s">
        <v>222</v>
      </c>
      <c r="D43" s="178"/>
      <c r="E43" s="179"/>
      <c r="F43" s="209">
        <f>+F38/F41</f>
        <v>0.95479016306283981</v>
      </c>
      <c r="G43" s="5"/>
      <c r="H43" s="81"/>
      <c r="I43" s="1"/>
    </row>
    <row r="44" spans="1:9">
      <c r="A44" s="1"/>
      <c r="B44" s="1"/>
      <c r="C44" s="1"/>
      <c r="D44" s="1"/>
      <c r="F44" s="11"/>
      <c r="G44" s="1"/>
      <c r="H44" s="11"/>
      <c r="I44" s="1"/>
    </row>
    <row r="45" spans="1:9">
      <c r="A45" s="1"/>
      <c r="B45" s="1"/>
      <c r="C45" s="1" t="s">
        <v>10</v>
      </c>
      <c r="D45" s="1"/>
      <c r="F45" s="11">
        <f>+D34</f>
        <v>0</v>
      </c>
      <c r="G45" s="1"/>
      <c r="H45" s="11"/>
      <c r="I45" s="1"/>
    </row>
    <row r="46" spans="1:9">
      <c r="A46" s="1"/>
      <c r="B46" s="1"/>
      <c r="C46" s="1" t="s">
        <v>11</v>
      </c>
      <c r="D46" s="1"/>
      <c r="F46" s="80">
        <f>+E34</f>
        <v>14.93</v>
      </c>
      <c r="G46" s="7">
        <v>0.12</v>
      </c>
      <c r="H46" s="11">
        <f>+F46*G46</f>
        <v>1.7915999999999999</v>
      </c>
      <c r="I46" s="1"/>
    </row>
    <row r="47" spans="1:9">
      <c r="A47" s="1"/>
      <c r="B47" s="1"/>
      <c r="C47" s="2" t="s">
        <v>72</v>
      </c>
      <c r="D47" s="2"/>
      <c r="E47" s="22"/>
      <c r="F47" s="81">
        <f>SUM(F45:F46)</f>
        <v>14.93</v>
      </c>
      <c r="G47" s="5"/>
      <c r="H47" s="194">
        <f>SUM(H45:H46)</f>
        <v>1.7915999999999999</v>
      </c>
      <c r="I47" s="1"/>
    </row>
    <row r="48" spans="1:9">
      <c r="A48" s="1"/>
      <c r="B48" s="1"/>
      <c r="C48" s="2" t="s">
        <v>223</v>
      </c>
      <c r="D48" s="2"/>
      <c r="E48" s="22"/>
      <c r="F48" s="81"/>
      <c r="G48" s="5"/>
      <c r="H48" s="5">
        <f>+H47*F43</f>
        <v>1.7106020561433837</v>
      </c>
      <c r="I48" s="1"/>
    </row>
    <row r="49" spans="1:10">
      <c r="A49" s="1"/>
      <c r="B49" s="1"/>
      <c r="C49" s="2"/>
      <c r="D49" s="2"/>
      <c r="E49" s="22"/>
      <c r="F49" s="81"/>
      <c r="G49" s="5"/>
      <c r="H49" s="81"/>
      <c r="I49" s="1"/>
    </row>
    <row r="50" spans="1:10">
      <c r="A50" s="1"/>
      <c r="B50" s="1"/>
      <c r="C50" s="1"/>
      <c r="D50" s="1"/>
      <c r="F50" s="11"/>
      <c r="G50" s="1"/>
      <c r="H50" s="11"/>
      <c r="I50" s="1"/>
    </row>
    <row r="51" spans="1:10">
      <c r="A51" s="1"/>
      <c r="B51" s="1"/>
      <c r="C51" s="68" t="s">
        <v>70</v>
      </c>
      <c r="D51" s="1"/>
      <c r="F51" s="1"/>
      <c r="G51" s="1"/>
      <c r="H51" s="84">
        <f>+H41-H48</f>
        <v>631.86179794385646</v>
      </c>
      <c r="I51" s="1"/>
    </row>
    <row r="52" spans="1:10">
      <c r="A52" s="1"/>
      <c r="B52" s="1"/>
      <c r="C52" s="1"/>
      <c r="D52" s="1"/>
      <c r="F52" s="1"/>
      <c r="G52" s="1"/>
      <c r="H52" s="11"/>
      <c r="I52" s="1"/>
    </row>
    <row r="53" spans="1:10">
      <c r="A53" s="1"/>
      <c r="B53" s="1"/>
      <c r="C53" s="1" t="s">
        <v>13</v>
      </c>
      <c r="D53" s="1"/>
      <c r="F53" s="1"/>
      <c r="G53" s="1"/>
      <c r="H53" s="11">
        <f>-J22</f>
        <v>-587.97239999999999</v>
      </c>
      <c r="I53" s="1"/>
    </row>
    <row r="54" spans="1:10">
      <c r="A54" s="1"/>
      <c r="B54" s="1"/>
      <c r="C54" s="1"/>
      <c r="D54" s="1"/>
      <c r="F54" s="1"/>
      <c r="G54" s="1"/>
      <c r="H54" s="11"/>
      <c r="I54" s="1"/>
    </row>
    <row r="55" spans="1:10">
      <c r="A55" s="1"/>
      <c r="B55" s="1"/>
      <c r="C55" s="68" t="s">
        <v>12</v>
      </c>
      <c r="D55" s="1"/>
      <c r="F55" s="1"/>
      <c r="G55" s="1"/>
      <c r="H55" s="84">
        <f>+H51+H53</f>
        <v>43.889397943856466</v>
      </c>
      <c r="I55" s="1"/>
    </row>
    <row r="56" spans="1:10">
      <c r="C56" s="1"/>
      <c r="D56" s="1"/>
      <c r="F56" s="1"/>
      <c r="G56" s="1"/>
      <c r="H56" s="11"/>
      <c r="I56" s="1"/>
    </row>
    <row r="57" spans="1:10" ht="15.75">
      <c r="C57" s="70" t="s">
        <v>74</v>
      </c>
      <c r="E57" s="74" t="s">
        <v>75</v>
      </c>
      <c r="F57" s="71">
        <v>605</v>
      </c>
      <c r="H57" s="192">
        <f>+AGOSTO!H62</f>
        <v>0</v>
      </c>
      <c r="I57" s="1"/>
    </row>
    <row r="58" spans="1:10" ht="15.75">
      <c r="C58" s="70" t="s">
        <v>74</v>
      </c>
      <c r="E58" s="74" t="s">
        <v>76</v>
      </c>
      <c r="F58" s="71">
        <v>606</v>
      </c>
      <c r="H58" s="192">
        <f>+AGOSTO!H63</f>
        <v>3716.1436107191876</v>
      </c>
      <c r="I58" s="1"/>
    </row>
    <row r="59" spans="1:10" ht="15.75">
      <c r="C59" s="70"/>
      <c r="F59" s="71"/>
      <c r="H59" s="193"/>
      <c r="J59" s="17"/>
    </row>
    <row r="60" spans="1:10" ht="15.75">
      <c r="C60" s="70"/>
      <c r="F60" s="71"/>
      <c r="H60" s="193"/>
      <c r="I60" s="1"/>
    </row>
    <row r="61" spans="1:10" ht="15.75">
      <c r="C61" s="70" t="s">
        <v>77</v>
      </c>
      <c r="F61" s="71">
        <v>615</v>
      </c>
      <c r="H61" s="193"/>
    </row>
    <row r="62" spans="1:10" ht="15.75">
      <c r="C62" s="70" t="s">
        <v>77</v>
      </c>
      <c r="F62" s="71">
        <v>617</v>
      </c>
      <c r="H62" s="192">
        <f>+H55+H58</f>
        <v>3760.0330086630438</v>
      </c>
      <c r="I62" s="73">
        <f>+H41-H48+H53+H57+H58</f>
        <v>3760.0330086630438</v>
      </c>
    </row>
    <row r="63" spans="1:10">
      <c r="H63" s="15"/>
    </row>
  </sheetData>
  <sortState ref="A19:H28">
    <sortCondition ref="D19:D28"/>
  </sortState>
  <pageMargins left="0.70866141732283472" right="0.70866141732283472" top="0.74803149606299213" bottom="0.74803149606299213" header="0.31496062992125984" footer="0.31496062992125984"/>
  <pageSetup scale="66" orientation="portrait" verticalDpi="1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7</vt:i4>
      </vt:variant>
    </vt:vector>
  </HeadingPairs>
  <TitlesOfParts>
    <vt:vector size="23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ANEXO GASOTS</vt:lpstr>
      <vt:lpstr>SRI GASTOS</vt:lpstr>
      <vt:lpstr>GASTOS PERSONALES</vt:lpstr>
      <vt:lpstr>RESUMEN</vt:lpstr>
      <vt:lpstr>ABRIL!Área_de_impresión</vt:lpstr>
      <vt:lpstr>ENERO!Área_de_impresión</vt:lpstr>
      <vt:lpstr>FEBRERO!Área_de_impresión</vt:lpstr>
      <vt:lpstr>JUNIO!Área_de_impresión</vt:lpstr>
      <vt:lpstr>MARZO!Área_de_impresión</vt:lpstr>
      <vt:lpstr>MAYO!Área_de_impresión</vt:lpstr>
      <vt:lpstr>RESUMEN!Área_de_impresión</vt:lpstr>
    </vt:vector>
  </TitlesOfParts>
  <Company>Windows 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Cosultores</cp:lastModifiedBy>
  <cp:lastPrinted>2020-01-13T13:31:57Z</cp:lastPrinted>
  <dcterms:created xsi:type="dcterms:W3CDTF">2011-03-29T12:15:32Z</dcterms:created>
  <dcterms:modified xsi:type="dcterms:W3CDTF">2020-02-06T17:44:12Z</dcterms:modified>
</cp:coreProperties>
</file>