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escargas\borrar\"/>
    </mc:Choice>
  </mc:AlternateContent>
  <bookViews>
    <workbookView xWindow="480" yWindow="120" windowWidth="12915" windowHeight="4365" tabRatio="805" activeTab="1" xr2:uid="{00000000-000D-0000-FFFF-FFFF00000000}"/>
  </bookViews>
  <sheets>
    <sheet name="MASTER" sheetId="1" r:id="rId1"/>
    <sheet name="EXPEDIENTE" sheetId="2" r:id="rId2"/>
    <sheet name="IMAGENES" sheetId="3" r:id="rId3"/>
  </sheets>
  <definedNames>
    <definedName name="_xlnm.Database">MASTER!$A$3:$AS$119</definedName>
    <definedName name="FOTO">OFFSET(IMAGENES!$B$2,MATCH(EXPEDIENTE!$J$3,REFEXPEDIENTE,0)-1,0,1,1)</definedName>
    <definedName name="REFEXPEDIENTE">OFFSET(IMAGENES!$A$1,1,0,COUNTA(IMAGENES!$A:$A)-2,1)</definedName>
  </definedNames>
  <calcPr calcId="171027"/>
</workbook>
</file>

<file path=xl/calcChain.xml><?xml version="1.0" encoding="utf-8"?>
<calcChain xmlns="http://schemas.openxmlformats.org/spreadsheetml/2006/main">
  <c r="B13" i="2" l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B26" i="3" l="1"/>
  <c r="B27" i="3" s="1"/>
  <c r="B28" i="3" s="1"/>
  <c r="B29" i="3" s="1"/>
  <c r="B30" i="3" s="1"/>
  <c r="B31" i="3" s="1"/>
  <c r="D8" i="2" l="1"/>
  <c r="A16" i="1"/>
  <c r="AB45" i="2" s="1"/>
  <c r="A15" i="1"/>
  <c r="A14" i="1"/>
  <c r="A13" i="1"/>
  <c r="A12" i="1"/>
  <c r="A11" i="1"/>
  <c r="A10" i="1"/>
  <c r="A8" i="1"/>
  <c r="A7" i="1"/>
  <c r="A6" i="1"/>
  <c r="D34" i="2" s="1"/>
  <c r="A5" i="1"/>
  <c r="A4" i="1"/>
  <c r="A3" i="1"/>
  <c r="F30" i="2" l="1"/>
  <c r="S16" i="2"/>
  <c r="D28" i="2"/>
  <c r="J34" i="2"/>
  <c r="Y43" i="2"/>
  <c r="D6" i="2"/>
  <c r="D10" i="2"/>
  <c r="J28" i="2"/>
  <c r="I32" i="2"/>
  <c r="O9" i="2"/>
  <c r="Q11" i="2"/>
  <c r="O16" i="2"/>
  <c r="O18" i="2" s="1"/>
  <c r="O22" i="2"/>
  <c r="AA43" i="2"/>
  <c r="I10" i="2"/>
  <c r="Q14" i="2"/>
  <c r="I30" i="2"/>
  <c r="O11" i="2"/>
  <c r="Q18" i="2" s="1"/>
  <c r="S18" i="2"/>
  <c r="J6" i="2"/>
  <c r="G10" i="2"/>
  <c r="D30" i="2"/>
  <c r="E32" i="2"/>
  <c r="Q9" i="2"/>
  <c r="S11" i="2"/>
  <c r="Q16" i="2"/>
  <c r="Q22" i="2"/>
  <c r="X45" i="2"/>
  <c r="S9" i="2"/>
  <c r="S22" i="2"/>
  <c r="Z45" i="2"/>
  <c r="H8" i="2"/>
  <c r="S14" i="2"/>
  <c r="S7" i="2"/>
  <c r="AC43" i="2" l="1"/>
</calcChain>
</file>

<file path=xl/sharedStrings.xml><?xml version="1.0" encoding="utf-8"?>
<sst xmlns="http://schemas.openxmlformats.org/spreadsheetml/2006/main" count="582" uniqueCount="174">
  <si>
    <t xml:space="preserve">EXP LIBRA </t>
  </si>
  <si>
    <t>ORIGEN</t>
  </si>
  <si>
    <t>EXP ORIGEN</t>
  </si>
  <si>
    <t>DIRECCIÓN</t>
  </si>
  <si>
    <t>MUNICIPIO</t>
  </si>
  <si>
    <t>PROVINCIA</t>
  </si>
  <si>
    <t>C.POSTAL</t>
  </si>
  <si>
    <t>TIPO</t>
  </si>
  <si>
    <t>M2</t>
  </si>
  <si>
    <t>TITULAR 1</t>
  </si>
  <si>
    <t>NACIONALIDAD</t>
  </si>
  <si>
    <t>ESTADO CIVIL</t>
  </si>
  <si>
    <t>TLF. MÓVIL</t>
  </si>
  <si>
    <t>TLF. FIJO</t>
  </si>
  <si>
    <t>TLF</t>
  </si>
  <si>
    <t xml:space="preserve">IMPORTE PRÉSTAMO </t>
  </si>
  <si>
    <t>FECHA</t>
  </si>
  <si>
    <t>TASACIÓN ORIGINAL</t>
  </si>
  <si>
    <t>RECIBOS PTES.</t>
  </si>
  <si>
    <t>PRINCIPAL</t>
  </si>
  <si>
    <t>INT.ORDINARIOS</t>
  </si>
  <si>
    <t>INT.MORATORIOS</t>
  </si>
  <si>
    <t>TOTAL CESIÓN DEUDA</t>
  </si>
  <si>
    <t>VALOR ADJUDIC.SUBASTA</t>
  </si>
  <si>
    <t>CARGAS POSTERIORES</t>
  </si>
  <si>
    <t>DATOS CESIÓN</t>
  </si>
  <si>
    <t>DATOS PRÉSTAMO HIPOTECARIO</t>
  </si>
  <si>
    <t>ÙLTIMA TASACIÓN</t>
  </si>
  <si>
    <t>VALORACIÓN ACTUAL</t>
  </si>
  <si>
    <t>VALORACIONES</t>
  </si>
  <si>
    <t>COMPRA CESIÓN</t>
  </si>
  <si>
    <t>GASTOS/PROVISIÓN</t>
  </si>
  <si>
    <t>TOTAL</t>
  </si>
  <si>
    <t>MARGEN</t>
  </si>
  <si>
    <t>OBJETIVO</t>
  </si>
  <si>
    <t>DATOS TITULARES</t>
  </si>
  <si>
    <t>DATOS INMUEBLE</t>
  </si>
  <si>
    <t>REFERENCIA CATASTRAL</t>
  </si>
  <si>
    <t>TITULAR 2</t>
  </si>
  <si>
    <t>FECHA FIN PREST.</t>
  </si>
  <si>
    <t>TIPO DE INTERÉS</t>
  </si>
  <si>
    <t>RESP.HIPOTECARIA</t>
  </si>
  <si>
    <t>FECHA NACIM.</t>
  </si>
  <si>
    <t>VENTA OBJETIVO</t>
  </si>
  <si>
    <t>ITP PREVISIÓN</t>
  </si>
  <si>
    <t>SI</t>
  </si>
  <si>
    <t>TRAVESÍA MOLINO DEL SURU 15, LA FELGUERA</t>
  </si>
  <si>
    <t>?</t>
  </si>
  <si>
    <t>EMAIL</t>
  </si>
  <si>
    <t>NO</t>
  </si>
  <si>
    <t xml:space="preserve"> C/ANTONIO COLLADO, 14 </t>
  </si>
  <si>
    <t xml:space="preserve"> C/ MADERAS, 5 </t>
  </si>
  <si>
    <t xml:space="preserve"> AVDA. DE GUIMAR 46 </t>
  </si>
  <si>
    <t>REGISTRADO</t>
  </si>
  <si>
    <t>NOTIFICADO</t>
  </si>
  <si>
    <t>HUELVA</t>
  </si>
  <si>
    <t>C/PUERTO DEL PICO O LAS MINAS 2</t>
  </si>
  <si>
    <t>SEVILLA</t>
  </si>
  <si>
    <t>ASTURIAS</t>
  </si>
  <si>
    <t>CHALET AD.</t>
  </si>
  <si>
    <t>PISO</t>
  </si>
  <si>
    <t>ESPAÑA</t>
  </si>
  <si>
    <t>CASA AD.</t>
  </si>
  <si>
    <t>CHALET</t>
  </si>
  <si>
    <t>EXPEDIENTE</t>
  </si>
  <si>
    <t>DATOS ECONÓMICOS</t>
  </si>
  <si>
    <t>INFORMACIÓN CONTACTOS</t>
  </si>
  <si>
    <t>Dirección</t>
  </si>
  <si>
    <t>C.Postal</t>
  </si>
  <si>
    <t>PRESTAMO HIPOTECARIO</t>
  </si>
  <si>
    <t>Banco</t>
  </si>
  <si>
    <t>Nº Expediente</t>
  </si>
  <si>
    <t>Municipio</t>
  </si>
  <si>
    <t>Provincia</t>
  </si>
  <si>
    <t>Importe Total</t>
  </si>
  <si>
    <t>Fecha</t>
  </si>
  <si>
    <t>Fecha Finaliz.</t>
  </si>
  <si>
    <t>Tipo Inm.</t>
  </si>
  <si>
    <t>Ref Cat.</t>
  </si>
  <si>
    <t>Tasación Original</t>
  </si>
  <si>
    <t>Resp.Hipotecaria</t>
  </si>
  <si>
    <t>Tipo Interés</t>
  </si>
  <si>
    <t>CESIÓN CRÉDITO</t>
  </si>
  <si>
    <t xml:space="preserve">Fecha </t>
  </si>
  <si>
    <t>Rbos. Pendientes</t>
  </si>
  <si>
    <t>Principal Deuda</t>
  </si>
  <si>
    <t>Int. Ordinarios</t>
  </si>
  <si>
    <t>Int. Moratorios</t>
  </si>
  <si>
    <t>Total Cesión Deuda</t>
  </si>
  <si>
    <t>Valor adjud. Sub</t>
  </si>
  <si>
    <t>Cargas Post.</t>
  </si>
  <si>
    <t xml:space="preserve">Última tasación </t>
  </si>
  <si>
    <t>Valoración actual</t>
  </si>
  <si>
    <t>DATOS PERSONALES</t>
  </si>
  <si>
    <t>Comentarios</t>
  </si>
  <si>
    <t>Tlf.Fijo</t>
  </si>
  <si>
    <t>Móvil</t>
  </si>
  <si>
    <t>Email</t>
  </si>
  <si>
    <t>Nac.</t>
  </si>
  <si>
    <t>Estado Civil</t>
  </si>
  <si>
    <t>Fecha Nacimiento</t>
  </si>
  <si>
    <t>Titular 2</t>
  </si>
  <si>
    <t>Tlf.</t>
  </si>
  <si>
    <t>RESUMEN JURÍDICO</t>
  </si>
  <si>
    <t>Titular 3</t>
  </si>
  <si>
    <t>Avalistas</t>
  </si>
  <si>
    <t>COMENTARIOS;</t>
  </si>
  <si>
    <t>Objetivo</t>
  </si>
  <si>
    <t>Compra cesión</t>
  </si>
  <si>
    <t>Gastos/Prov</t>
  </si>
  <si>
    <t>Total</t>
  </si>
  <si>
    <t>Venta Obj.</t>
  </si>
  <si>
    <t>ITP prev.</t>
  </si>
  <si>
    <t>Margen</t>
  </si>
  <si>
    <r>
      <t>m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 xml:space="preserve"> const.</t>
    </r>
  </si>
  <si>
    <t>Titular 1</t>
  </si>
  <si>
    <t>-</t>
  </si>
  <si>
    <t>CODIGO</t>
  </si>
  <si>
    <t>PLANO</t>
  </si>
  <si>
    <t>AMBAR</t>
  </si>
  <si>
    <t>LUGO</t>
  </si>
  <si>
    <t>BILBAO</t>
  </si>
  <si>
    <t>MADRID</t>
  </si>
  <si>
    <t>BLBAO</t>
  </si>
  <si>
    <t>VALENCIA</t>
  </si>
  <si>
    <t>JOSE</t>
  </si>
  <si>
    <t>MANUEL</t>
  </si>
  <si>
    <t>FERNANDO</t>
  </si>
  <si>
    <t>ALFREDO</t>
  </si>
  <si>
    <t>MANOLO</t>
  </si>
  <si>
    <t>ALICIA</t>
  </si>
  <si>
    <t>PEDRO</t>
  </si>
  <si>
    <t>MARCO</t>
  </si>
  <si>
    <t>ROBERTO</t>
  </si>
  <si>
    <t>JUAN</t>
  </si>
  <si>
    <t>VICTOR</t>
  </si>
  <si>
    <t>MARIA</t>
  </si>
  <si>
    <t>ANTONIO</t>
  </si>
  <si>
    <t>91 325 65 874</t>
  </si>
  <si>
    <t>91 256 84 523</t>
  </si>
  <si>
    <t>654 235 632</t>
  </si>
  <si>
    <t>654 874 582</t>
  </si>
  <si>
    <t>653 698 588</t>
  </si>
  <si>
    <t>675 254 854</t>
  </si>
  <si>
    <t>684 521 485</t>
  </si>
  <si>
    <t>654 258 698</t>
  </si>
  <si>
    <t>93 352 684 57</t>
  </si>
  <si>
    <t>95 824 741 52</t>
  </si>
  <si>
    <t>653 635 421</t>
  </si>
  <si>
    <t>658 524 252</t>
  </si>
  <si>
    <t>632 541 741</t>
  </si>
  <si>
    <t>661 254 536</t>
  </si>
  <si>
    <t>612 354 212</t>
  </si>
  <si>
    <t>658 523 698</t>
  </si>
  <si>
    <t>606 254 523</t>
  </si>
  <si>
    <t>91 824 55 003</t>
  </si>
  <si>
    <t>96 253 685 42</t>
  </si>
  <si>
    <t>93 525 25 252</t>
  </si>
  <si>
    <t>91 425 63 365</t>
  </si>
  <si>
    <t>91 425 85 96</t>
  </si>
  <si>
    <t>92 241 72 43</t>
  </si>
  <si>
    <t>92 258 36 67</t>
  </si>
  <si>
    <t>C/ESCALERILLA 4</t>
  </si>
  <si>
    <t>C/MAGNOLIA 19</t>
  </si>
  <si>
    <t>C/PROFESORA FRANCISCA LAGUNA 2</t>
  </si>
  <si>
    <t>PLAZA DEL ARENAL 29</t>
  </si>
  <si>
    <t xml:space="preserve"> C/LOMO LA PLANA, 24</t>
  </si>
  <si>
    <t xml:space="preserve"> C/ LOS ESCUDOS, 13 </t>
  </si>
  <si>
    <t xml:space="preserve"> C/ ENELDO, 15</t>
  </si>
  <si>
    <t xml:space="preserve"> C/EL SOCORRO 23 </t>
  </si>
  <si>
    <t>COMENTARIOS</t>
  </si>
  <si>
    <t>DATOS ECONOMICOS</t>
  </si>
  <si>
    <t>RESUMEN JURIDICO</t>
  </si>
  <si>
    <t>INFORMACION CONTACTOS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</si>
</sst>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right"/>
    </xf>
    <xf numFmtId="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1" fillId="0" borderId="0" xfId="0" applyFont="1"/>
    <xf numFmtId="0" fontId="0" fillId="0" borderId="1" xfId="0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/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/>
    <xf numFmtId="0" fontId="1" fillId="0" borderId="6" xfId="0" applyFont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10" fontId="0" fillId="0" borderId="1" xfId="0" applyNumberFormat="1" applyBorder="1"/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1" fillId="0" borderId="0" xfId="0" applyFont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quotePrefix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12</xdr:row>
      <xdr:rowOff>19050</xdr:rowOff>
    </xdr:from>
    <xdr:to>
      <xdr:col>5</xdr:col>
      <xdr:colOff>733424</xdr:colOff>
      <xdr:row>23</xdr:row>
      <xdr:rowOff>0</xdr:rowOff>
    </xdr:to>
    <xdr:pic>
      <xdr:nvPicPr>
        <xdr:cNvPr id="25" name="=FO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266950"/>
          <a:ext cx="3257549" cy="21621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12</xdr:row>
          <xdr:rowOff>0</xdr:rowOff>
        </xdr:from>
        <xdr:to>
          <xdr:col>10</xdr:col>
          <xdr:colOff>0</xdr:colOff>
          <xdr:row>23</xdr:row>
          <xdr:rowOff>24654</xdr:rowOff>
        </xdr:to>
        <xdr:pic>
          <xdr:nvPicPr>
            <xdr:cNvPr id="3" name="=FOTO">
              <a:extLst>
                <a:ext uri="{FF2B5EF4-FFF2-40B4-BE49-F238E27FC236}">
                  <a16:creationId xmlns:a16="http://schemas.microsoft.com/office/drawing/2014/main" id="{AA06413D-D954-4238-83EF-9B2005036E07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FOTO" spid="_x0000_s102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724275" y="2247900"/>
              <a:ext cx="2790825" cy="2205879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304800</xdr:rowOff>
    </xdr:from>
    <xdr:to>
      <xdr:col>1</xdr:col>
      <xdr:colOff>3505199</xdr:colOff>
      <xdr:row>1</xdr:row>
      <xdr:rowOff>2466975</xdr:rowOff>
    </xdr:to>
    <xdr:pic>
      <xdr:nvPicPr>
        <xdr:cNvPr id="2" name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495300"/>
          <a:ext cx="3257549" cy="2162175"/>
        </a:xfrm>
        <a:prstGeom prst="rect">
          <a:avLst/>
        </a:prstGeom>
      </xdr:spPr>
    </xdr:pic>
    <xdr:clientData/>
  </xdr:twoCellAnchor>
  <xdr:oneCellAnchor>
    <xdr:from>
      <xdr:col>1</xdr:col>
      <xdr:colOff>552450</xdr:colOff>
      <xdr:row>2</xdr:row>
      <xdr:rowOff>561975</xdr:rowOff>
    </xdr:from>
    <xdr:ext cx="2789200" cy="1568159"/>
    <xdr:pic>
      <xdr:nvPicPr>
        <xdr:cNvPr id="32" name="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4450" y="3733800"/>
          <a:ext cx="2789200" cy="1568159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161924</xdr:colOff>
      <xdr:row>4</xdr:row>
      <xdr:rowOff>238124</xdr:rowOff>
    </xdr:from>
    <xdr:to>
      <xdr:col>1</xdr:col>
      <xdr:colOff>3573050</xdr:colOff>
      <xdr:row>4</xdr:row>
      <xdr:rowOff>2705099</xdr:rowOff>
    </xdr:to>
    <xdr:pic>
      <xdr:nvPicPr>
        <xdr:cNvPr id="33" name="4" descr="Haga click para ver imagen ampliada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4" y="9372599"/>
          <a:ext cx="3411126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</xdr:row>
      <xdr:rowOff>266699</xdr:rowOff>
    </xdr:from>
    <xdr:to>
      <xdr:col>1</xdr:col>
      <xdr:colOff>3757485</xdr:colOff>
      <xdr:row>3</xdr:row>
      <xdr:rowOff>2352674</xdr:rowOff>
    </xdr:to>
    <xdr:pic>
      <xdr:nvPicPr>
        <xdr:cNvPr id="36" name="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575" y="6419849"/>
          <a:ext cx="3728910" cy="2085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W64"/>
  <sheetViews>
    <sheetView workbookViewId="0">
      <selection activeCell="C17" sqref="C17"/>
    </sheetView>
  </sheetViews>
  <sheetFormatPr baseColWidth="10" defaultRowHeight="15" x14ac:dyDescent="0.25"/>
  <cols>
    <col min="1" max="1" width="4.42578125" customWidth="1"/>
    <col min="2" max="2" width="5.140625" style="4" customWidth="1"/>
    <col min="3" max="3" width="5.42578125" style="4" customWidth="1"/>
    <col min="5" max="6" width="11.42578125" style="4"/>
    <col min="7" max="7" width="41.42578125" customWidth="1"/>
    <col min="9" max="9" width="21.7109375" customWidth="1"/>
    <col min="10" max="10" width="13.85546875" customWidth="1"/>
    <col min="12" max="12" width="11.42578125" style="4"/>
    <col min="14" max="14" width="29.42578125" customWidth="1"/>
    <col min="15" max="15" width="14.42578125" customWidth="1"/>
    <col min="16" max="16" width="11.42578125" style="4"/>
    <col min="17" max="17" width="23.85546875" style="4" customWidth="1"/>
    <col min="18" max="18" width="11.28515625" customWidth="1"/>
    <col min="19" max="19" width="11.42578125" style="4"/>
    <col min="21" max="21" width="27.140625" customWidth="1"/>
    <col min="25" max="25" width="11.85546875" customWidth="1"/>
    <col min="26" max="26" width="12.5703125" style="8" customWidth="1"/>
    <col min="27" max="27" width="13.28515625" style="8" customWidth="1"/>
    <col min="30" max="30" width="11.42578125" style="4"/>
    <col min="36" max="36" width="11.42578125" style="9"/>
    <col min="37" max="37" width="11.42578125" style="6"/>
    <col min="40" max="40" width="11.42578125" style="6"/>
    <col min="46" max="49" width="14.85546875" customWidth="1"/>
  </cols>
  <sheetData>
    <row r="1" spans="1:49" ht="15.75" thickBot="1" x14ac:dyDescent="0.3">
      <c r="G1" s="58" t="s">
        <v>36</v>
      </c>
      <c r="H1" s="59"/>
      <c r="I1" s="59"/>
      <c r="J1" s="59"/>
      <c r="K1" s="59"/>
      <c r="L1" s="59"/>
      <c r="M1" s="60"/>
      <c r="N1" s="58" t="s">
        <v>35</v>
      </c>
      <c r="O1" s="59"/>
      <c r="P1" s="59"/>
      <c r="Q1" s="59"/>
      <c r="R1" s="59"/>
      <c r="S1" s="59"/>
      <c r="T1" s="59"/>
      <c r="U1" s="59"/>
      <c r="V1" s="60"/>
      <c r="W1" s="58" t="s">
        <v>26</v>
      </c>
      <c r="X1" s="59"/>
      <c r="Y1" s="59"/>
      <c r="Z1" s="59"/>
      <c r="AA1" s="59"/>
      <c r="AB1" s="60"/>
      <c r="AC1" s="58" t="s">
        <v>25</v>
      </c>
      <c r="AD1" s="59"/>
      <c r="AE1" s="59"/>
      <c r="AF1" s="59"/>
      <c r="AG1" s="59"/>
      <c r="AH1" s="59"/>
      <c r="AI1" s="59"/>
      <c r="AJ1" s="60"/>
      <c r="AK1" s="58" t="s">
        <v>29</v>
      </c>
      <c r="AL1" s="59"/>
      <c r="AM1" s="60"/>
      <c r="AN1" s="58" t="s">
        <v>34</v>
      </c>
      <c r="AO1" s="59"/>
      <c r="AP1" s="59"/>
      <c r="AQ1" s="59"/>
      <c r="AR1" s="59"/>
      <c r="AS1" s="60"/>
      <c r="AT1" s="58" t="s">
        <v>170</v>
      </c>
      <c r="AU1" s="59"/>
      <c r="AV1" s="59"/>
      <c r="AW1" s="60"/>
    </row>
    <row r="2" spans="1:49" s="1" customFormat="1" ht="45.75" thickBot="1" x14ac:dyDescent="0.3">
      <c r="B2" s="5" t="s">
        <v>53</v>
      </c>
      <c r="C2" s="5" t="s">
        <v>54</v>
      </c>
      <c r="D2" s="3" t="s">
        <v>1</v>
      </c>
      <c r="E2" s="2" t="s">
        <v>2</v>
      </c>
      <c r="F2" s="2" t="s">
        <v>0</v>
      </c>
      <c r="G2" s="2" t="s">
        <v>3</v>
      </c>
      <c r="H2" s="2" t="s">
        <v>6</v>
      </c>
      <c r="I2" s="2" t="s">
        <v>4</v>
      </c>
      <c r="J2" s="2" t="s">
        <v>5</v>
      </c>
      <c r="K2" s="2" t="s">
        <v>7</v>
      </c>
      <c r="L2" s="2" t="s">
        <v>8</v>
      </c>
      <c r="M2" s="2" t="s">
        <v>37</v>
      </c>
      <c r="N2" s="2" t="s">
        <v>9</v>
      </c>
      <c r="O2" s="2" t="s">
        <v>13</v>
      </c>
      <c r="P2" s="2" t="s">
        <v>12</v>
      </c>
      <c r="Q2" s="2" t="s">
        <v>48</v>
      </c>
      <c r="R2" s="2" t="s">
        <v>42</v>
      </c>
      <c r="S2" s="2" t="s">
        <v>10</v>
      </c>
      <c r="T2" s="2" t="s">
        <v>11</v>
      </c>
      <c r="U2" s="2" t="s">
        <v>38</v>
      </c>
      <c r="V2" s="2" t="s">
        <v>14</v>
      </c>
      <c r="W2" s="2" t="s">
        <v>15</v>
      </c>
      <c r="X2" s="2" t="s">
        <v>16</v>
      </c>
      <c r="Y2" s="2" t="s">
        <v>39</v>
      </c>
      <c r="Z2" s="7" t="s">
        <v>17</v>
      </c>
      <c r="AA2" s="7" t="s">
        <v>41</v>
      </c>
      <c r="AB2" s="2" t="s">
        <v>40</v>
      </c>
      <c r="AC2" s="2" t="s">
        <v>16</v>
      </c>
      <c r="AD2" s="2" t="s">
        <v>18</v>
      </c>
      <c r="AE2" s="2" t="s">
        <v>19</v>
      </c>
      <c r="AF2" s="2" t="s">
        <v>20</v>
      </c>
      <c r="AG2" s="2" t="s">
        <v>21</v>
      </c>
      <c r="AH2" s="2" t="s">
        <v>22</v>
      </c>
      <c r="AI2" s="2" t="s">
        <v>23</v>
      </c>
      <c r="AJ2" s="10" t="s">
        <v>24</v>
      </c>
      <c r="AK2" s="7" t="s">
        <v>27</v>
      </c>
      <c r="AL2" s="2" t="s">
        <v>16</v>
      </c>
      <c r="AM2" s="2" t="s">
        <v>28</v>
      </c>
      <c r="AN2" s="7" t="s">
        <v>30</v>
      </c>
      <c r="AO2" s="2" t="s">
        <v>31</v>
      </c>
      <c r="AP2" s="2" t="s">
        <v>32</v>
      </c>
      <c r="AQ2" s="2" t="s">
        <v>43</v>
      </c>
      <c r="AR2" s="2" t="s">
        <v>44</v>
      </c>
      <c r="AS2" s="2" t="s">
        <v>33</v>
      </c>
      <c r="AT2" s="2" t="s">
        <v>93</v>
      </c>
      <c r="AU2" s="2" t="s">
        <v>171</v>
      </c>
      <c r="AV2" s="2" t="s">
        <v>172</v>
      </c>
      <c r="AW2" s="2" t="s">
        <v>173</v>
      </c>
    </row>
    <row r="3" spans="1:49" x14ac:dyDescent="0.25">
      <c r="A3">
        <f>IF(F3="","",F3)</f>
        <v>1</v>
      </c>
      <c r="B3" s="4" t="s">
        <v>45</v>
      </c>
      <c r="C3" s="4" t="s">
        <v>45</v>
      </c>
      <c r="D3" t="s">
        <v>119</v>
      </c>
      <c r="E3" s="4">
        <v>720872</v>
      </c>
      <c r="F3" s="4">
        <v>1</v>
      </c>
      <c r="G3" s="57" t="s">
        <v>163</v>
      </c>
      <c r="H3" s="4">
        <v>28315</v>
      </c>
      <c r="I3" s="4" t="s">
        <v>116</v>
      </c>
      <c r="J3" t="s">
        <v>124</v>
      </c>
      <c r="K3" t="s">
        <v>59</v>
      </c>
      <c r="L3" s="4">
        <v>120</v>
      </c>
      <c r="M3" s="4" t="s">
        <v>116</v>
      </c>
      <c r="N3" t="s">
        <v>125</v>
      </c>
      <c r="O3" s="55" t="s">
        <v>138</v>
      </c>
      <c r="P3" s="55" t="s">
        <v>143</v>
      </c>
      <c r="Q3" s="4" t="s">
        <v>116</v>
      </c>
      <c r="R3" s="4" t="s">
        <v>116</v>
      </c>
      <c r="S3" s="4" t="s">
        <v>61</v>
      </c>
      <c r="T3" s="4" t="s">
        <v>116</v>
      </c>
      <c r="U3" s="4" t="s">
        <v>116</v>
      </c>
      <c r="V3" s="4" t="s">
        <v>116</v>
      </c>
      <c r="W3" s="4" t="s">
        <v>116</v>
      </c>
      <c r="X3" s="4" t="s">
        <v>116</v>
      </c>
      <c r="Y3" s="4" t="s">
        <v>116</v>
      </c>
      <c r="Z3" s="8">
        <v>261822</v>
      </c>
      <c r="AA3" s="8">
        <v>187000</v>
      </c>
      <c r="AB3" s="4" t="s">
        <v>116</v>
      </c>
      <c r="AC3" s="4" t="s">
        <v>116</v>
      </c>
      <c r="AD3" s="4">
        <v>22</v>
      </c>
      <c r="AE3" s="4" t="s">
        <v>116</v>
      </c>
      <c r="AF3" s="4" t="s">
        <v>116</v>
      </c>
      <c r="AG3" s="4" t="s">
        <v>116</v>
      </c>
      <c r="AH3" s="4" t="s">
        <v>116</v>
      </c>
      <c r="AI3" s="4" t="s">
        <v>116</v>
      </c>
      <c r="AJ3" s="9" t="s">
        <v>49</v>
      </c>
      <c r="AK3" s="6">
        <v>101513</v>
      </c>
      <c r="AL3" s="4" t="s">
        <v>116</v>
      </c>
      <c r="AM3" s="4" t="s">
        <v>116</v>
      </c>
      <c r="AN3" s="4" t="s">
        <v>116</v>
      </c>
      <c r="AO3" s="4" t="s">
        <v>116</v>
      </c>
      <c r="AP3" s="4" t="s">
        <v>116</v>
      </c>
      <c r="AQ3" s="4" t="s">
        <v>116</v>
      </c>
      <c r="AR3" s="4" t="s">
        <v>116</v>
      </c>
      <c r="AS3" s="4" t="s">
        <v>116</v>
      </c>
    </row>
    <row r="4" spans="1:49" x14ac:dyDescent="0.25">
      <c r="A4">
        <f t="shared" ref="A4:A8" si="0">IF(F4="","",F4)</f>
        <v>2</v>
      </c>
      <c r="B4" s="4" t="s">
        <v>45</v>
      </c>
      <c r="C4" s="4" t="s">
        <v>45</v>
      </c>
      <c r="D4" t="s">
        <v>119</v>
      </c>
      <c r="E4" s="4">
        <v>718437</v>
      </c>
      <c r="F4" s="4">
        <v>2</v>
      </c>
      <c r="G4" s="57" t="s">
        <v>162</v>
      </c>
      <c r="H4" s="4">
        <v>28524</v>
      </c>
      <c r="I4" s="4" t="s">
        <v>116</v>
      </c>
      <c r="J4" t="s">
        <v>123</v>
      </c>
      <c r="K4" t="s">
        <v>60</v>
      </c>
      <c r="L4" s="4">
        <v>66</v>
      </c>
      <c r="M4" s="4" t="s">
        <v>116</v>
      </c>
      <c r="N4" t="s">
        <v>126</v>
      </c>
      <c r="O4" s="56" t="s">
        <v>139</v>
      </c>
      <c r="P4" s="55" t="s">
        <v>144</v>
      </c>
      <c r="Q4" s="4" t="s">
        <v>116</v>
      </c>
      <c r="R4" s="4" t="s">
        <v>116</v>
      </c>
      <c r="S4" s="4" t="s">
        <v>61</v>
      </c>
      <c r="T4" s="4" t="s">
        <v>116</v>
      </c>
      <c r="U4" s="4" t="s">
        <v>116</v>
      </c>
      <c r="V4" s="4" t="s">
        <v>116</v>
      </c>
      <c r="W4" s="4" t="s">
        <v>116</v>
      </c>
      <c r="X4" s="4" t="s">
        <v>116</v>
      </c>
      <c r="Y4" s="4" t="s">
        <v>116</v>
      </c>
      <c r="Z4" s="8">
        <v>122458</v>
      </c>
      <c r="AA4" s="8">
        <v>122458</v>
      </c>
      <c r="AB4" s="4" t="s">
        <v>116</v>
      </c>
      <c r="AC4" s="4" t="s">
        <v>116</v>
      </c>
      <c r="AD4" s="4">
        <v>25</v>
      </c>
      <c r="AE4" s="4" t="s">
        <v>116</v>
      </c>
      <c r="AF4" s="4" t="s">
        <v>116</v>
      </c>
      <c r="AG4" s="4" t="s">
        <v>116</v>
      </c>
      <c r="AH4" s="4" t="s">
        <v>116</v>
      </c>
      <c r="AI4" s="4" t="s">
        <v>116</v>
      </c>
      <c r="AJ4" s="9" t="s">
        <v>49</v>
      </c>
      <c r="AK4" s="6">
        <v>47377</v>
      </c>
      <c r="AL4" s="4" t="s">
        <v>116</v>
      </c>
      <c r="AM4" s="4" t="s">
        <v>116</v>
      </c>
      <c r="AN4" s="4" t="s">
        <v>116</v>
      </c>
      <c r="AO4" s="4" t="s">
        <v>116</v>
      </c>
      <c r="AP4" s="4" t="s">
        <v>116</v>
      </c>
      <c r="AQ4" s="4" t="s">
        <v>116</v>
      </c>
      <c r="AR4" s="4" t="s">
        <v>116</v>
      </c>
      <c r="AS4" s="4" t="s">
        <v>116</v>
      </c>
    </row>
    <row r="5" spans="1:49" x14ac:dyDescent="0.25">
      <c r="A5">
        <f t="shared" si="0"/>
        <v>3</v>
      </c>
      <c r="B5" s="4" t="s">
        <v>45</v>
      </c>
      <c r="C5" s="4" t="s">
        <v>45</v>
      </c>
      <c r="D5" t="s">
        <v>119</v>
      </c>
      <c r="E5" s="4">
        <v>710065</v>
      </c>
      <c r="F5" s="4">
        <v>3</v>
      </c>
      <c r="G5" t="s">
        <v>56</v>
      </c>
      <c r="H5" s="4">
        <v>28365</v>
      </c>
      <c r="I5" s="4" t="s">
        <v>116</v>
      </c>
      <c r="J5" t="s">
        <v>122</v>
      </c>
      <c r="K5" t="s">
        <v>60</v>
      </c>
      <c r="L5" s="4">
        <v>174</v>
      </c>
      <c r="M5" s="4" t="s">
        <v>116</v>
      </c>
      <c r="N5" t="s">
        <v>127</v>
      </c>
      <c r="O5" s="56" t="s">
        <v>155</v>
      </c>
      <c r="P5" s="55" t="s">
        <v>145</v>
      </c>
      <c r="Q5" s="4" t="s">
        <v>116</v>
      </c>
      <c r="R5" s="4" t="s">
        <v>116</v>
      </c>
      <c r="S5" s="4" t="s">
        <v>61</v>
      </c>
      <c r="T5" s="4" t="s">
        <v>116</v>
      </c>
      <c r="U5" s="4" t="s">
        <v>116</v>
      </c>
      <c r="V5" s="4" t="s">
        <v>116</v>
      </c>
      <c r="W5" s="4" t="s">
        <v>116</v>
      </c>
      <c r="X5" s="4" t="s">
        <v>116</v>
      </c>
      <c r="Y5" s="4" t="s">
        <v>116</v>
      </c>
      <c r="Z5" s="8">
        <v>132201</v>
      </c>
      <c r="AA5" s="8">
        <v>139425</v>
      </c>
      <c r="AB5" s="4" t="s">
        <v>116</v>
      </c>
      <c r="AC5" s="4" t="s">
        <v>116</v>
      </c>
      <c r="AD5" s="4">
        <v>32</v>
      </c>
      <c r="AE5" s="4" t="s">
        <v>116</v>
      </c>
      <c r="AF5" s="4" t="s">
        <v>116</v>
      </c>
      <c r="AG5" s="4" t="s">
        <v>116</v>
      </c>
      <c r="AH5" s="4" t="s">
        <v>116</v>
      </c>
      <c r="AI5" s="4" t="s">
        <v>116</v>
      </c>
      <c r="AJ5" s="9" t="s">
        <v>49</v>
      </c>
      <c r="AK5" s="6">
        <v>102000</v>
      </c>
      <c r="AL5" s="4" t="s">
        <v>116</v>
      </c>
      <c r="AM5" s="4" t="s">
        <v>116</v>
      </c>
      <c r="AN5" s="4" t="s">
        <v>116</v>
      </c>
      <c r="AO5" s="4" t="s">
        <v>116</v>
      </c>
      <c r="AP5" s="4" t="s">
        <v>116</v>
      </c>
      <c r="AQ5" s="4" t="s">
        <v>116</v>
      </c>
      <c r="AR5" s="4" t="s">
        <v>116</v>
      </c>
      <c r="AS5" s="4" t="s">
        <v>116</v>
      </c>
    </row>
    <row r="6" spans="1:49" x14ac:dyDescent="0.25">
      <c r="A6">
        <f t="shared" si="0"/>
        <v>4</v>
      </c>
      <c r="B6" s="4" t="s">
        <v>45</v>
      </c>
      <c r="C6" s="4" t="s">
        <v>45</v>
      </c>
      <c r="D6" t="s">
        <v>119</v>
      </c>
      <c r="E6" s="4">
        <v>716397</v>
      </c>
      <c r="F6" s="4">
        <v>4</v>
      </c>
      <c r="G6" s="57" t="s">
        <v>164</v>
      </c>
      <c r="H6" s="4">
        <v>15624</v>
      </c>
      <c r="I6" s="4" t="s">
        <v>116</v>
      </c>
      <c r="J6" t="s">
        <v>121</v>
      </c>
      <c r="K6" t="s">
        <v>60</v>
      </c>
      <c r="L6" s="4">
        <v>98</v>
      </c>
      <c r="M6" s="4" t="s">
        <v>116</v>
      </c>
      <c r="N6" t="s">
        <v>128</v>
      </c>
      <c r="O6" s="55" t="s">
        <v>146</v>
      </c>
      <c r="P6" s="55" t="s">
        <v>140</v>
      </c>
      <c r="Q6" s="4" t="s">
        <v>116</v>
      </c>
      <c r="R6" s="4" t="s">
        <v>116</v>
      </c>
      <c r="S6" s="4" t="s">
        <v>61</v>
      </c>
      <c r="T6" s="4" t="s">
        <v>116</v>
      </c>
      <c r="U6" s="4" t="s">
        <v>116</v>
      </c>
      <c r="V6" s="4" t="s">
        <v>116</v>
      </c>
      <c r="W6" s="4" t="s">
        <v>116</v>
      </c>
      <c r="X6" s="4" t="s">
        <v>116</v>
      </c>
      <c r="Y6" s="4" t="s">
        <v>116</v>
      </c>
      <c r="Z6" s="8">
        <v>174360</v>
      </c>
      <c r="AA6" s="8">
        <v>113900</v>
      </c>
      <c r="AB6" s="4" t="s">
        <v>116</v>
      </c>
      <c r="AC6" s="4" t="s">
        <v>116</v>
      </c>
      <c r="AD6" s="4">
        <v>24</v>
      </c>
      <c r="AE6" s="4" t="s">
        <v>116</v>
      </c>
      <c r="AF6" s="4" t="s">
        <v>116</v>
      </c>
      <c r="AG6" s="4" t="s">
        <v>116</v>
      </c>
      <c r="AH6" s="4" t="s">
        <v>116</v>
      </c>
      <c r="AI6" s="4" t="s">
        <v>116</v>
      </c>
      <c r="AJ6" s="9" t="s">
        <v>49</v>
      </c>
      <c r="AK6" s="6">
        <v>63600</v>
      </c>
      <c r="AL6" s="4" t="s">
        <v>116</v>
      </c>
      <c r="AM6" s="4" t="s">
        <v>116</v>
      </c>
      <c r="AN6" s="4" t="s">
        <v>116</v>
      </c>
      <c r="AO6" s="4" t="s">
        <v>116</v>
      </c>
      <c r="AP6" s="4" t="s">
        <v>116</v>
      </c>
      <c r="AQ6" s="4" t="s">
        <v>116</v>
      </c>
      <c r="AR6" s="4" t="s">
        <v>116</v>
      </c>
      <c r="AS6" s="4" t="s">
        <v>116</v>
      </c>
    </row>
    <row r="7" spans="1:49" x14ac:dyDescent="0.25">
      <c r="A7">
        <f t="shared" si="0"/>
        <v>5</v>
      </c>
      <c r="B7" s="4" t="s">
        <v>45</v>
      </c>
      <c r="C7" s="4" t="s">
        <v>45</v>
      </c>
      <c r="D7" t="s">
        <v>119</v>
      </c>
      <c r="E7" s="4">
        <v>710434</v>
      </c>
      <c r="F7" s="4">
        <v>5</v>
      </c>
      <c r="G7" t="s">
        <v>46</v>
      </c>
      <c r="H7" s="4">
        <v>36547</v>
      </c>
      <c r="I7" s="4" t="s">
        <v>116</v>
      </c>
      <c r="J7" t="s">
        <v>120</v>
      </c>
      <c r="K7" t="s">
        <v>62</v>
      </c>
      <c r="L7" s="4">
        <v>130</v>
      </c>
      <c r="M7" s="4" t="s">
        <v>116</v>
      </c>
      <c r="N7" t="s">
        <v>129</v>
      </c>
      <c r="O7" s="55" t="s">
        <v>147</v>
      </c>
      <c r="P7" s="55" t="s">
        <v>141</v>
      </c>
      <c r="Q7" s="4" t="s">
        <v>116</v>
      </c>
      <c r="R7" s="4" t="s">
        <v>116</v>
      </c>
      <c r="S7" s="4" t="s">
        <v>61</v>
      </c>
      <c r="T7" s="4" t="s">
        <v>116</v>
      </c>
      <c r="U7" s="4" t="s">
        <v>116</v>
      </c>
      <c r="V7" s="4" t="s">
        <v>116</v>
      </c>
      <c r="W7" s="4" t="s">
        <v>116</v>
      </c>
      <c r="X7" s="4" t="s">
        <v>116</v>
      </c>
      <c r="Y7" s="4" t="s">
        <v>116</v>
      </c>
      <c r="Z7" s="8">
        <v>141714</v>
      </c>
      <c r="AA7" s="8">
        <v>179590</v>
      </c>
      <c r="AB7" s="4" t="s">
        <v>116</v>
      </c>
      <c r="AC7" s="4" t="s">
        <v>116</v>
      </c>
      <c r="AD7" s="4">
        <v>27</v>
      </c>
      <c r="AE7" s="4" t="s">
        <v>116</v>
      </c>
      <c r="AF7" s="4" t="s">
        <v>116</v>
      </c>
      <c r="AG7" s="4" t="s">
        <v>116</v>
      </c>
      <c r="AH7" s="4" t="s">
        <v>116</v>
      </c>
      <c r="AI7" s="4" t="s">
        <v>116</v>
      </c>
      <c r="AJ7" s="9" t="s">
        <v>49</v>
      </c>
      <c r="AK7" s="6">
        <v>58272</v>
      </c>
      <c r="AL7" s="4" t="s">
        <v>116</v>
      </c>
      <c r="AM7" s="4" t="s">
        <v>116</v>
      </c>
      <c r="AN7" s="4" t="s">
        <v>116</v>
      </c>
      <c r="AO7" s="4" t="s">
        <v>116</v>
      </c>
      <c r="AP7" s="4" t="s">
        <v>116</v>
      </c>
      <c r="AQ7" s="4" t="s">
        <v>116</v>
      </c>
      <c r="AR7" s="4" t="s">
        <v>116</v>
      </c>
      <c r="AS7" s="4" t="s">
        <v>116</v>
      </c>
    </row>
    <row r="8" spans="1:49" x14ac:dyDescent="0.25">
      <c r="A8">
        <f t="shared" si="0"/>
        <v>6</v>
      </c>
      <c r="B8" s="4" t="s">
        <v>45</v>
      </c>
      <c r="C8" s="4" t="s">
        <v>45</v>
      </c>
      <c r="D8" t="s">
        <v>119</v>
      </c>
      <c r="E8" s="4">
        <v>709687</v>
      </c>
      <c r="F8" s="4">
        <v>6</v>
      </c>
      <c r="G8" s="57" t="s">
        <v>165</v>
      </c>
      <c r="H8" s="4">
        <v>25475</v>
      </c>
      <c r="I8" s="4" t="s">
        <v>116</v>
      </c>
      <c r="J8" t="s">
        <v>58</v>
      </c>
      <c r="K8" t="s">
        <v>60</v>
      </c>
      <c r="L8" s="4">
        <v>88</v>
      </c>
      <c r="M8" s="4" t="s">
        <v>116</v>
      </c>
      <c r="N8" t="s">
        <v>130</v>
      </c>
      <c r="O8" s="56" t="s">
        <v>156</v>
      </c>
      <c r="P8" s="55" t="s">
        <v>142</v>
      </c>
      <c r="Q8" s="4" t="s">
        <v>116</v>
      </c>
      <c r="R8" s="4" t="s">
        <v>116</v>
      </c>
      <c r="S8" s="4" t="s">
        <v>61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8">
        <v>113922</v>
      </c>
      <c r="AA8" s="8">
        <v>154050</v>
      </c>
      <c r="AB8" s="4" t="s">
        <v>116</v>
      </c>
      <c r="AC8" s="4" t="s">
        <v>116</v>
      </c>
      <c r="AD8" s="4" t="s">
        <v>47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9" t="s">
        <v>49</v>
      </c>
      <c r="AK8" s="6">
        <v>75000</v>
      </c>
      <c r="AL8" s="4" t="s">
        <v>116</v>
      </c>
      <c r="AM8" s="4" t="s">
        <v>116</v>
      </c>
      <c r="AN8" s="4" t="s">
        <v>116</v>
      </c>
      <c r="AO8" s="4" t="s">
        <v>116</v>
      </c>
      <c r="AP8" s="4" t="s">
        <v>116</v>
      </c>
      <c r="AQ8" s="4" t="s">
        <v>116</v>
      </c>
      <c r="AR8" s="4" t="s">
        <v>116</v>
      </c>
      <c r="AS8" s="4" t="s">
        <v>116</v>
      </c>
    </row>
    <row r="9" spans="1:49" s="12" customFormat="1" ht="8.25" customHeight="1" x14ac:dyDescent="0.25">
      <c r="B9" s="11"/>
      <c r="C9" s="11"/>
      <c r="E9" s="11"/>
      <c r="F9" s="11"/>
      <c r="L9" s="11"/>
      <c r="P9" s="11"/>
      <c r="Q9" s="11"/>
      <c r="S9" s="11"/>
      <c r="Z9" s="13"/>
      <c r="AA9" s="13"/>
      <c r="AD9" s="11"/>
      <c r="AJ9" s="14"/>
      <c r="AK9" s="15"/>
      <c r="AN9" s="15"/>
    </row>
    <row r="10" spans="1:49" x14ac:dyDescent="0.25">
      <c r="A10">
        <f t="shared" ref="A10:A64" si="1">IF(F10="","",F10)</f>
        <v>7</v>
      </c>
      <c r="B10" s="4" t="s">
        <v>45</v>
      </c>
      <c r="C10" s="4" t="s">
        <v>45</v>
      </c>
      <c r="D10" t="s">
        <v>119</v>
      </c>
      <c r="E10" s="4">
        <v>720588</v>
      </c>
      <c r="F10" s="4">
        <v>7</v>
      </c>
      <c r="G10" t="s">
        <v>166</v>
      </c>
      <c r="H10" s="4">
        <v>25148</v>
      </c>
      <c r="I10" s="4" t="s">
        <v>116</v>
      </c>
      <c r="J10" t="s">
        <v>57</v>
      </c>
      <c r="K10" t="s">
        <v>60</v>
      </c>
      <c r="L10" s="4">
        <v>100</v>
      </c>
      <c r="M10" s="4" t="s">
        <v>116</v>
      </c>
      <c r="N10" t="s">
        <v>131</v>
      </c>
      <c r="O10" s="47" t="s">
        <v>157</v>
      </c>
      <c r="P10" s="4" t="s">
        <v>148</v>
      </c>
      <c r="Q10" s="4" t="s">
        <v>116</v>
      </c>
      <c r="R10" s="4" t="s">
        <v>116</v>
      </c>
      <c r="S10" s="4" t="s">
        <v>61</v>
      </c>
      <c r="T10" s="4" t="s">
        <v>116</v>
      </c>
      <c r="U10" s="4" t="s">
        <v>116</v>
      </c>
      <c r="V10" s="4" t="s">
        <v>116</v>
      </c>
      <c r="W10" s="4" t="s">
        <v>116</v>
      </c>
      <c r="X10" s="4" t="s">
        <v>116</v>
      </c>
      <c r="Y10" s="4" t="s">
        <v>116</v>
      </c>
      <c r="Z10" s="8">
        <v>231184</v>
      </c>
      <c r="AA10" s="8">
        <v>273700</v>
      </c>
      <c r="AB10" s="4" t="s">
        <v>116</v>
      </c>
      <c r="AC10" s="4" t="s">
        <v>116</v>
      </c>
      <c r="AD10" s="4">
        <v>5</v>
      </c>
      <c r="AE10" s="4" t="s">
        <v>116</v>
      </c>
      <c r="AF10" s="4" t="s">
        <v>116</v>
      </c>
      <c r="AG10" s="4" t="s">
        <v>116</v>
      </c>
      <c r="AH10" s="4" t="s">
        <v>116</v>
      </c>
      <c r="AI10" s="4" t="s">
        <v>116</v>
      </c>
      <c r="AJ10" s="9" t="s">
        <v>49</v>
      </c>
      <c r="AK10" s="6">
        <v>143125</v>
      </c>
      <c r="AL10" s="4" t="s">
        <v>116</v>
      </c>
      <c r="AM10" s="4" t="s">
        <v>116</v>
      </c>
      <c r="AN10" s="4" t="s">
        <v>116</v>
      </c>
      <c r="AO10" s="4" t="s">
        <v>116</v>
      </c>
      <c r="AP10" s="4" t="s">
        <v>116</v>
      </c>
      <c r="AQ10" s="4" t="s">
        <v>116</v>
      </c>
      <c r="AR10" s="4" t="s">
        <v>116</v>
      </c>
      <c r="AS10" s="4" t="s">
        <v>116</v>
      </c>
    </row>
    <row r="11" spans="1:49" x14ac:dyDescent="0.25">
      <c r="A11">
        <f t="shared" si="1"/>
        <v>8</v>
      </c>
      <c r="B11" s="4" t="s">
        <v>45</v>
      </c>
      <c r="C11" s="4" t="s">
        <v>45</v>
      </c>
      <c r="D11" t="s">
        <v>119</v>
      </c>
      <c r="E11" s="4">
        <v>722966</v>
      </c>
      <c r="F11" s="4">
        <v>8</v>
      </c>
      <c r="G11" t="s">
        <v>50</v>
      </c>
      <c r="H11" s="4">
        <v>28527</v>
      </c>
      <c r="I11" s="4" t="s">
        <v>116</v>
      </c>
      <c r="J11" t="s">
        <v>57</v>
      </c>
      <c r="K11" t="s">
        <v>62</v>
      </c>
      <c r="L11" s="4">
        <v>158</v>
      </c>
      <c r="M11" s="4" t="s">
        <v>116</v>
      </c>
      <c r="N11" t="s">
        <v>132</v>
      </c>
      <c r="O11" s="55" t="s">
        <v>158</v>
      </c>
      <c r="P11" s="4" t="s">
        <v>149</v>
      </c>
      <c r="Q11" s="4" t="s">
        <v>116</v>
      </c>
      <c r="R11" s="4" t="s">
        <v>116</v>
      </c>
      <c r="S11" s="4" t="s">
        <v>61</v>
      </c>
      <c r="T11" s="4" t="s">
        <v>116</v>
      </c>
      <c r="U11" s="4" t="s">
        <v>116</v>
      </c>
      <c r="V11" s="4" t="s">
        <v>116</v>
      </c>
      <c r="W11" s="4" t="s">
        <v>116</v>
      </c>
      <c r="X11" s="4" t="s">
        <v>116</v>
      </c>
      <c r="Y11" s="4" t="s">
        <v>116</v>
      </c>
      <c r="Z11" s="8">
        <v>308145</v>
      </c>
      <c r="AA11" s="8">
        <v>368653</v>
      </c>
      <c r="AB11" s="4" t="s">
        <v>116</v>
      </c>
      <c r="AC11" s="4" t="s">
        <v>116</v>
      </c>
      <c r="AD11" s="4">
        <v>19</v>
      </c>
      <c r="AE11" s="4" t="s">
        <v>116</v>
      </c>
      <c r="AF11" s="4" t="s">
        <v>116</v>
      </c>
      <c r="AG11" s="4" t="s">
        <v>116</v>
      </c>
      <c r="AH11" s="4" t="s">
        <v>116</v>
      </c>
      <c r="AI11" s="4" t="s">
        <v>116</v>
      </c>
      <c r="AJ11" s="9" t="s">
        <v>49</v>
      </c>
      <c r="AK11" s="6">
        <v>106528</v>
      </c>
      <c r="AL11" s="4" t="s">
        <v>116</v>
      </c>
      <c r="AM11" s="4" t="s">
        <v>116</v>
      </c>
      <c r="AN11" s="4" t="s">
        <v>116</v>
      </c>
      <c r="AO11" s="4" t="s">
        <v>116</v>
      </c>
      <c r="AP11" s="4" t="s">
        <v>116</v>
      </c>
      <c r="AQ11" s="4" t="s">
        <v>116</v>
      </c>
      <c r="AR11" s="4" t="s">
        <v>116</v>
      </c>
      <c r="AS11" s="4" t="s">
        <v>116</v>
      </c>
    </row>
    <row r="12" spans="1:49" x14ac:dyDescent="0.25">
      <c r="A12">
        <f t="shared" si="1"/>
        <v>9</v>
      </c>
      <c r="B12" s="4" t="s">
        <v>45</v>
      </c>
      <c r="C12" s="4" t="s">
        <v>45</v>
      </c>
      <c r="D12" t="s">
        <v>119</v>
      </c>
      <c r="E12" s="4">
        <v>715982</v>
      </c>
      <c r="F12" s="4">
        <v>9</v>
      </c>
      <c r="G12" s="57" t="s">
        <v>167</v>
      </c>
      <c r="H12" s="4">
        <v>65844</v>
      </c>
      <c r="I12" s="4" t="s">
        <v>116</v>
      </c>
      <c r="J12" t="s">
        <v>55</v>
      </c>
      <c r="K12" t="s">
        <v>60</v>
      </c>
      <c r="L12" s="4">
        <v>117</v>
      </c>
      <c r="M12" s="4" t="s">
        <v>116</v>
      </c>
      <c r="N12" t="s">
        <v>133</v>
      </c>
      <c r="O12" s="55" t="s">
        <v>159</v>
      </c>
      <c r="P12" s="4" t="s">
        <v>150</v>
      </c>
      <c r="Q12" s="4" t="s">
        <v>116</v>
      </c>
      <c r="R12" s="4" t="s">
        <v>116</v>
      </c>
      <c r="S12" s="4" t="s">
        <v>61</v>
      </c>
      <c r="T12" s="4" t="s">
        <v>116</v>
      </c>
      <c r="U12" s="4" t="s">
        <v>116</v>
      </c>
      <c r="V12" s="4" t="s">
        <v>116</v>
      </c>
      <c r="W12" s="4" t="s">
        <v>116</v>
      </c>
      <c r="X12" s="4" t="s">
        <v>116</v>
      </c>
      <c r="Y12" s="4" t="s">
        <v>116</v>
      </c>
      <c r="Z12" s="8">
        <v>182692</v>
      </c>
      <c r="AA12" s="8">
        <v>248200</v>
      </c>
      <c r="AB12" s="4" t="s">
        <v>116</v>
      </c>
      <c r="AC12" s="4" t="s">
        <v>116</v>
      </c>
      <c r="AD12" s="4">
        <v>29</v>
      </c>
      <c r="AE12" s="4" t="s">
        <v>116</v>
      </c>
      <c r="AF12" s="4" t="s">
        <v>116</v>
      </c>
      <c r="AG12" s="4" t="s">
        <v>116</v>
      </c>
      <c r="AH12" s="4" t="s">
        <v>116</v>
      </c>
      <c r="AI12" s="4" t="s">
        <v>116</v>
      </c>
      <c r="AJ12" s="9" t="s">
        <v>49</v>
      </c>
      <c r="AK12" s="6">
        <v>52159</v>
      </c>
      <c r="AL12" s="4" t="s">
        <v>116</v>
      </c>
      <c r="AM12" s="4" t="s">
        <v>116</v>
      </c>
      <c r="AN12" s="4" t="s">
        <v>116</v>
      </c>
      <c r="AO12" s="4" t="s">
        <v>116</v>
      </c>
      <c r="AP12" s="4" t="s">
        <v>116</v>
      </c>
      <c r="AQ12" s="4" t="s">
        <v>116</v>
      </c>
      <c r="AR12" s="4" t="s">
        <v>116</v>
      </c>
      <c r="AS12" s="4" t="s">
        <v>116</v>
      </c>
    </row>
    <row r="13" spans="1:49" x14ac:dyDescent="0.25">
      <c r="A13">
        <f t="shared" si="1"/>
        <v>10</v>
      </c>
      <c r="B13" s="4" t="s">
        <v>45</v>
      </c>
      <c r="C13" s="4" t="s">
        <v>45</v>
      </c>
      <c r="D13" t="s">
        <v>119</v>
      </c>
      <c r="E13" s="4">
        <v>718687</v>
      </c>
      <c r="F13" s="4">
        <v>10</v>
      </c>
      <c r="G13" t="s">
        <v>51</v>
      </c>
      <c r="H13" s="4">
        <v>11254</v>
      </c>
      <c r="I13" s="4" t="s">
        <v>116</v>
      </c>
      <c r="J13" t="s">
        <v>55</v>
      </c>
      <c r="K13" t="s">
        <v>63</v>
      </c>
      <c r="L13" s="4">
        <v>292</v>
      </c>
      <c r="M13" s="4" t="s">
        <v>116</v>
      </c>
      <c r="N13" t="s">
        <v>134</v>
      </c>
      <c r="O13" s="55" t="s">
        <v>160</v>
      </c>
      <c r="P13" s="54" t="s">
        <v>151</v>
      </c>
      <c r="Q13" s="4" t="s">
        <v>116</v>
      </c>
      <c r="R13" s="4" t="s">
        <v>116</v>
      </c>
      <c r="S13" s="4" t="s">
        <v>61</v>
      </c>
      <c r="T13" s="4" t="s">
        <v>116</v>
      </c>
      <c r="U13" s="4" t="s">
        <v>116</v>
      </c>
      <c r="V13" s="4" t="s">
        <v>116</v>
      </c>
      <c r="W13" s="4" t="s">
        <v>116</v>
      </c>
      <c r="X13" s="4" t="s">
        <v>116</v>
      </c>
      <c r="Y13" s="4" t="s">
        <v>116</v>
      </c>
      <c r="Z13" s="8">
        <v>498777</v>
      </c>
      <c r="AA13" s="8">
        <v>435642</v>
      </c>
      <c r="AB13" s="4" t="s">
        <v>116</v>
      </c>
      <c r="AC13" s="4" t="s">
        <v>116</v>
      </c>
      <c r="AD13" s="4">
        <v>26</v>
      </c>
      <c r="AE13" s="4" t="s">
        <v>116</v>
      </c>
      <c r="AF13" s="4" t="s">
        <v>116</v>
      </c>
      <c r="AG13" s="4" t="s">
        <v>116</v>
      </c>
      <c r="AH13" s="4" t="s">
        <v>116</v>
      </c>
      <c r="AI13" s="4" t="s">
        <v>116</v>
      </c>
      <c r="AJ13" s="9" t="s">
        <v>49</v>
      </c>
      <c r="AK13" s="6">
        <v>283003</v>
      </c>
      <c r="AL13" s="4" t="s">
        <v>116</v>
      </c>
      <c r="AM13" s="4" t="s">
        <v>116</v>
      </c>
      <c r="AN13" s="4" t="s">
        <v>116</v>
      </c>
      <c r="AO13" s="4" t="s">
        <v>116</v>
      </c>
      <c r="AP13" s="4" t="s">
        <v>116</v>
      </c>
      <c r="AQ13" s="4" t="s">
        <v>116</v>
      </c>
      <c r="AR13" s="4" t="s">
        <v>116</v>
      </c>
      <c r="AS13" s="4" t="s">
        <v>116</v>
      </c>
    </row>
    <row r="14" spans="1:49" x14ac:dyDescent="0.25">
      <c r="A14">
        <f t="shared" si="1"/>
        <v>11</v>
      </c>
      <c r="B14" s="4" t="s">
        <v>45</v>
      </c>
      <c r="C14" s="4" t="s">
        <v>45</v>
      </c>
      <c r="D14" t="s">
        <v>119</v>
      </c>
      <c r="E14" s="4">
        <v>719544</v>
      </c>
      <c r="F14" s="4">
        <v>11</v>
      </c>
      <c r="G14" s="57" t="s">
        <v>168</v>
      </c>
      <c r="H14" s="4">
        <v>36542</v>
      </c>
      <c r="I14" s="4" t="s">
        <v>116</v>
      </c>
      <c r="J14" t="s">
        <v>55</v>
      </c>
      <c r="K14" t="s">
        <v>60</v>
      </c>
      <c r="L14" s="4">
        <v>76</v>
      </c>
      <c r="M14" s="4" t="s">
        <v>116</v>
      </c>
      <c r="N14" t="s">
        <v>135</v>
      </c>
      <c r="O14" s="56" t="s">
        <v>156</v>
      </c>
      <c r="P14" s="4" t="s">
        <v>152</v>
      </c>
      <c r="Q14" s="4" t="s">
        <v>116</v>
      </c>
      <c r="R14" s="4" t="s">
        <v>116</v>
      </c>
      <c r="S14" s="4" t="s">
        <v>61</v>
      </c>
      <c r="T14" s="4" t="s">
        <v>116</v>
      </c>
      <c r="U14" s="4" t="s">
        <v>116</v>
      </c>
      <c r="V14" s="4" t="s">
        <v>116</v>
      </c>
      <c r="W14" s="4" t="s">
        <v>116</v>
      </c>
      <c r="X14" s="4" t="s">
        <v>116</v>
      </c>
      <c r="Y14" s="4" t="s">
        <v>116</v>
      </c>
      <c r="Z14" s="8">
        <v>125743</v>
      </c>
      <c r="AA14" s="8">
        <v>145350</v>
      </c>
      <c r="AB14" s="4" t="s">
        <v>116</v>
      </c>
      <c r="AC14" s="4" t="s">
        <v>116</v>
      </c>
      <c r="AD14" s="4">
        <v>73</v>
      </c>
      <c r="AE14" s="4" t="s">
        <v>116</v>
      </c>
      <c r="AF14" s="4" t="s">
        <v>116</v>
      </c>
      <c r="AG14" s="4" t="s">
        <v>116</v>
      </c>
      <c r="AH14" s="4" t="s">
        <v>116</v>
      </c>
      <c r="AI14" s="4" t="s">
        <v>116</v>
      </c>
      <c r="AJ14" s="9" t="s">
        <v>49</v>
      </c>
      <c r="AK14" s="6">
        <v>45912</v>
      </c>
      <c r="AL14" s="4" t="s">
        <v>116</v>
      </c>
      <c r="AM14" s="4" t="s">
        <v>116</v>
      </c>
      <c r="AN14" s="4" t="s">
        <v>116</v>
      </c>
      <c r="AO14" s="4" t="s">
        <v>116</v>
      </c>
      <c r="AP14" s="4" t="s">
        <v>116</v>
      </c>
      <c r="AQ14" s="4" t="s">
        <v>116</v>
      </c>
      <c r="AR14" s="4" t="s">
        <v>116</v>
      </c>
      <c r="AS14" s="4" t="s">
        <v>116</v>
      </c>
    </row>
    <row r="15" spans="1:49" x14ac:dyDescent="0.25">
      <c r="A15">
        <f t="shared" si="1"/>
        <v>12</v>
      </c>
      <c r="B15" s="4" t="s">
        <v>45</v>
      </c>
      <c r="C15" s="4" t="s">
        <v>45</v>
      </c>
      <c r="D15" t="s">
        <v>119</v>
      </c>
      <c r="E15" s="4">
        <v>720161</v>
      </c>
      <c r="F15" s="4">
        <v>12</v>
      </c>
      <c r="G15" s="57" t="s">
        <v>169</v>
      </c>
      <c r="H15" s="4">
        <v>36598</v>
      </c>
      <c r="I15" s="4" t="s">
        <v>116</v>
      </c>
      <c r="J15" t="s">
        <v>55</v>
      </c>
      <c r="K15" t="s">
        <v>60</v>
      </c>
      <c r="L15" s="4">
        <v>100</v>
      </c>
      <c r="M15" s="4" t="s">
        <v>116</v>
      </c>
      <c r="N15" t="s">
        <v>136</v>
      </c>
      <c r="O15" s="55" t="s">
        <v>161</v>
      </c>
      <c r="P15" s="4" t="s">
        <v>153</v>
      </c>
      <c r="Q15" s="4" t="s">
        <v>116</v>
      </c>
      <c r="R15" s="4" t="s">
        <v>116</v>
      </c>
      <c r="S15" s="4" t="s">
        <v>61</v>
      </c>
      <c r="T15" s="4" t="s">
        <v>116</v>
      </c>
      <c r="U15" s="4" t="s">
        <v>116</v>
      </c>
      <c r="V15" s="4" t="s">
        <v>116</v>
      </c>
      <c r="W15" s="4" t="s">
        <v>116</v>
      </c>
      <c r="X15" s="4" t="s">
        <v>116</v>
      </c>
      <c r="Y15" s="4" t="s">
        <v>116</v>
      </c>
      <c r="Z15" s="8">
        <v>191651</v>
      </c>
      <c r="AA15" s="8">
        <v>260610</v>
      </c>
      <c r="AB15" s="4" t="s">
        <v>116</v>
      </c>
      <c r="AC15" s="4" t="s">
        <v>116</v>
      </c>
      <c r="AD15" s="4">
        <v>45</v>
      </c>
      <c r="AE15" s="4" t="s">
        <v>116</v>
      </c>
      <c r="AF15" s="4" t="s">
        <v>116</v>
      </c>
      <c r="AG15" s="4" t="s">
        <v>116</v>
      </c>
      <c r="AH15" s="4" t="s">
        <v>116</v>
      </c>
      <c r="AI15" s="4" t="s">
        <v>116</v>
      </c>
      <c r="AJ15" s="9" t="s">
        <v>49</v>
      </c>
      <c r="AK15" s="6">
        <v>85380</v>
      </c>
      <c r="AL15" s="4" t="s">
        <v>116</v>
      </c>
      <c r="AM15" s="4" t="s">
        <v>116</v>
      </c>
      <c r="AN15" s="4" t="s">
        <v>116</v>
      </c>
      <c r="AO15" s="4" t="s">
        <v>116</v>
      </c>
      <c r="AP15" s="4" t="s">
        <v>116</v>
      </c>
      <c r="AQ15" s="4" t="s">
        <v>116</v>
      </c>
      <c r="AR15" s="4" t="s">
        <v>116</v>
      </c>
      <c r="AS15" s="4" t="s">
        <v>116</v>
      </c>
    </row>
    <row r="16" spans="1:49" x14ac:dyDescent="0.25">
      <c r="A16">
        <f t="shared" si="1"/>
        <v>13</v>
      </c>
      <c r="B16" s="4" t="s">
        <v>45</v>
      </c>
      <c r="C16" s="4" t="s">
        <v>45</v>
      </c>
      <c r="D16" t="s">
        <v>119</v>
      </c>
      <c r="E16" s="4">
        <v>709380</v>
      </c>
      <c r="F16" s="4">
        <v>13</v>
      </c>
      <c r="G16" t="s">
        <v>52</v>
      </c>
      <c r="H16" s="4">
        <v>65527</v>
      </c>
      <c r="I16" s="4" t="s">
        <v>116</v>
      </c>
      <c r="J16" t="s">
        <v>55</v>
      </c>
      <c r="K16" t="s">
        <v>62</v>
      </c>
      <c r="L16" s="4">
        <v>210</v>
      </c>
      <c r="M16" s="4" t="s">
        <v>116</v>
      </c>
      <c r="N16" t="s">
        <v>137</v>
      </c>
      <c r="O16" s="56" t="s">
        <v>139</v>
      </c>
      <c r="P16" s="4" t="s">
        <v>154</v>
      </c>
      <c r="Q16" s="4" t="s">
        <v>116</v>
      </c>
      <c r="R16" s="4" t="s">
        <v>116</v>
      </c>
      <c r="S16" s="4" t="s">
        <v>61</v>
      </c>
      <c r="T16" s="4" t="s">
        <v>116</v>
      </c>
      <c r="U16" s="4" t="s">
        <v>116</v>
      </c>
      <c r="V16" s="4" t="s">
        <v>116</v>
      </c>
      <c r="W16" s="4" t="s">
        <v>116</v>
      </c>
      <c r="X16" s="4" t="s">
        <v>116</v>
      </c>
      <c r="Y16" s="4" t="s">
        <v>116</v>
      </c>
      <c r="Z16" s="8">
        <v>157000</v>
      </c>
      <c r="AA16" s="8">
        <v>229515</v>
      </c>
      <c r="AB16" s="4" t="s">
        <v>116</v>
      </c>
      <c r="AC16" s="4" t="s">
        <v>116</v>
      </c>
      <c r="AD16" s="4">
        <v>28</v>
      </c>
      <c r="AE16" s="4" t="s">
        <v>116</v>
      </c>
      <c r="AF16" s="4" t="s">
        <v>116</v>
      </c>
      <c r="AG16" s="4" t="s">
        <v>116</v>
      </c>
      <c r="AH16" s="4" t="s">
        <v>116</v>
      </c>
      <c r="AI16" s="4" t="s">
        <v>116</v>
      </c>
      <c r="AJ16" s="9" t="s">
        <v>49</v>
      </c>
      <c r="AK16" s="6">
        <v>85905</v>
      </c>
      <c r="AL16" s="4" t="s">
        <v>116</v>
      </c>
      <c r="AM16" s="4" t="s">
        <v>116</v>
      </c>
      <c r="AN16" s="4" t="s">
        <v>116</v>
      </c>
      <c r="AO16" s="4" t="s">
        <v>116</v>
      </c>
      <c r="AP16" s="4" t="s">
        <v>116</v>
      </c>
      <c r="AQ16" s="4" t="s">
        <v>116</v>
      </c>
      <c r="AR16" s="4" t="s">
        <v>116</v>
      </c>
      <c r="AS16" s="4" t="s">
        <v>116</v>
      </c>
    </row>
    <row r="17" spans="1:1" x14ac:dyDescent="0.25">
      <c r="A17" t="str">
        <f t="shared" si="1"/>
        <v/>
      </c>
    </row>
    <row r="18" spans="1:1" x14ac:dyDescent="0.25">
      <c r="A18" t="str">
        <f t="shared" si="1"/>
        <v/>
      </c>
    </row>
    <row r="19" spans="1:1" x14ac:dyDescent="0.25">
      <c r="A19" t="str">
        <f t="shared" si="1"/>
        <v/>
      </c>
    </row>
    <row r="20" spans="1:1" x14ac:dyDescent="0.25">
      <c r="A20" t="str">
        <f t="shared" si="1"/>
        <v/>
      </c>
    </row>
    <row r="21" spans="1:1" x14ac:dyDescent="0.25">
      <c r="A21" t="str">
        <f t="shared" si="1"/>
        <v/>
      </c>
    </row>
    <row r="22" spans="1:1" x14ac:dyDescent="0.25">
      <c r="A22" t="str">
        <f t="shared" si="1"/>
        <v/>
      </c>
    </row>
    <row r="23" spans="1:1" x14ac:dyDescent="0.25">
      <c r="A23" t="str">
        <f t="shared" si="1"/>
        <v/>
      </c>
    </row>
    <row r="24" spans="1:1" x14ac:dyDescent="0.25">
      <c r="A24" t="str">
        <f t="shared" si="1"/>
        <v/>
      </c>
    </row>
    <row r="25" spans="1:1" x14ac:dyDescent="0.25">
      <c r="A25" t="str">
        <f t="shared" si="1"/>
        <v/>
      </c>
    </row>
    <row r="26" spans="1:1" x14ac:dyDescent="0.25">
      <c r="A26" t="str">
        <f t="shared" si="1"/>
        <v/>
      </c>
    </row>
    <row r="27" spans="1:1" x14ac:dyDescent="0.25">
      <c r="A27" t="str">
        <f t="shared" si="1"/>
        <v/>
      </c>
    </row>
    <row r="28" spans="1:1" x14ac:dyDescent="0.25">
      <c r="A28" t="str">
        <f t="shared" si="1"/>
        <v/>
      </c>
    </row>
    <row r="29" spans="1:1" x14ac:dyDescent="0.25">
      <c r="A29" t="str">
        <f t="shared" si="1"/>
        <v/>
      </c>
    </row>
    <row r="30" spans="1:1" x14ac:dyDescent="0.25">
      <c r="A30" t="str">
        <f t="shared" si="1"/>
        <v/>
      </c>
    </row>
    <row r="31" spans="1:1" x14ac:dyDescent="0.25">
      <c r="A31" t="str">
        <f t="shared" si="1"/>
        <v/>
      </c>
    </row>
    <row r="32" spans="1:1" x14ac:dyDescent="0.25">
      <c r="A32" t="str">
        <f t="shared" si="1"/>
        <v/>
      </c>
    </row>
    <row r="33" spans="1:1" x14ac:dyDescent="0.25">
      <c r="A33" t="str">
        <f t="shared" si="1"/>
        <v/>
      </c>
    </row>
    <row r="34" spans="1:1" x14ac:dyDescent="0.25">
      <c r="A34" t="str">
        <f t="shared" si="1"/>
        <v/>
      </c>
    </row>
    <row r="35" spans="1:1" x14ac:dyDescent="0.25">
      <c r="A35" t="str">
        <f t="shared" si="1"/>
        <v/>
      </c>
    </row>
    <row r="36" spans="1:1" x14ac:dyDescent="0.25">
      <c r="A36" t="str">
        <f t="shared" si="1"/>
        <v/>
      </c>
    </row>
    <row r="37" spans="1:1" x14ac:dyDescent="0.25">
      <c r="A37" t="str">
        <f t="shared" si="1"/>
        <v/>
      </c>
    </row>
    <row r="38" spans="1:1" x14ac:dyDescent="0.25">
      <c r="A38" t="str">
        <f t="shared" si="1"/>
        <v/>
      </c>
    </row>
    <row r="39" spans="1:1" x14ac:dyDescent="0.25">
      <c r="A39" t="str">
        <f t="shared" si="1"/>
        <v/>
      </c>
    </row>
    <row r="40" spans="1:1" x14ac:dyDescent="0.25">
      <c r="A40" t="str">
        <f t="shared" si="1"/>
        <v/>
      </c>
    </row>
    <row r="41" spans="1:1" x14ac:dyDescent="0.25">
      <c r="A41" t="str">
        <f t="shared" si="1"/>
        <v/>
      </c>
    </row>
    <row r="42" spans="1:1" x14ac:dyDescent="0.25">
      <c r="A42" t="str">
        <f t="shared" si="1"/>
        <v/>
      </c>
    </row>
    <row r="43" spans="1:1" x14ac:dyDescent="0.25">
      <c r="A43" t="str">
        <f t="shared" si="1"/>
        <v/>
      </c>
    </row>
    <row r="44" spans="1:1" x14ac:dyDescent="0.25">
      <c r="A44" t="str">
        <f t="shared" si="1"/>
        <v/>
      </c>
    </row>
    <row r="45" spans="1:1" x14ac:dyDescent="0.25">
      <c r="A45" t="str">
        <f t="shared" si="1"/>
        <v/>
      </c>
    </row>
    <row r="46" spans="1:1" x14ac:dyDescent="0.25">
      <c r="A46" t="str">
        <f t="shared" si="1"/>
        <v/>
      </c>
    </row>
    <row r="47" spans="1:1" x14ac:dyDescent="0.25">
      <c r="A47" t="str">
        <f t="shared" si="1"/>
        <v/>
      </c>
    </row>
    <row r="48" spans="1:1" x14ac:dyDescent="0.25">
      <c r="A48" t="str">
        <f t="shared" si="1"/>
        <v/>
      </c>
    </row>
    <row r="49" spans="1:1" x14ac:dyDescent="0.25">
      <c r="A49" t="str">
        <f t="shared" si="1"/>
        <v/>
      </c>
    </row>
    <row r="50" spans="1:1" x14ac:dyDescent="0.25">
      <c r="A50" t="str">
        <f t="shared" si="1"/>
        <v/>
      </c>
    </row>
    <row r="51" spans="1:1" x14ac:dyDescent="0.25">
      <c r="A51" t="str">
        <f t="shared" si="1"/>
        <v/>
      </c>
    </row>
    <row r="52" spans="1:1" x14ac:dyDescent="0.25">
      <c r="A52" t="str">
        <f t="shared" si="1"/>
        <v/>
      </c>
    </row>
    <row r="53" spans="1:1" x14ac:dyDescent="0.25">
      <c r="A53" t="str">
        <f t="shared" si="1"/>
        <v/>
      </c>
    </row>
    <row r="54" spans="1:1" x14ac:dyDescent="0.25">
      <c r="A54" t="str">
        <f t="shared" si="1"/>
        <v/>
      </c>
    </row>
    <row r="55" spans="1:1" x14ac:dyDescent="0.25">
      <c r="A55" t="str">
        <f t="shared" si="1"/>
        <v/>
      </c>
    </row>
    <row r="56" spans="1:1" x14ac:dyDescent="0.25">
      <c r="A56" t="str">
        <f t="shared" si="1"/>
        <v/>
      </c>
    </row>
    <row r="57" spans="1:1" x14ac:dyDescent="0.25">
      <c r="A57" t="str">
        <f t="shared" si="1"/>
        <v/>
      </c>
    </row>
    <row r="58" spans="1:1" x14ac:dyDescent="0.25">
      <c r="A58" t="str">
        <f t="shared" si="1"/>
        <v/>
      </c>
    </row>
    <row r="59" spans="1:1" x14ac:dyDescent="0.25">
      <c r="A59" t="str">
        <f t="shared" si="1"/>
        <v/>
      </c>
    </row>
    <row r="60" spans="1:1" x14ac:dyDescent="0.25">
      <c r="A60" t="str">
        <f t="shared" si="1"/>
        <v/>
      </c>
    </row>
    <row r="61" spans="1:1" x14ac:dyDescent="0.25">
      <c r="A61" t="str">
        <f t="shared" si="1"/>
        <v/>
      </c>
    </row>
    <row r="62" spans="1:1" x14ac:dyDescent="0.25">
      <c r="A62" t="str">
        <f t="shared" si="1"/>
        <v/>
      </c>
    </row>
    <row r="63" spans="1:1" x14ac:dyDescent="0.25">
      <c r="A63" t="str">
        <f t="shared" si="1"/>
        <v/>
      </c>
    </row>
    <row r="64" spans="1:1" x14ac:dyDescent="0.25">
      <c r="A64" t="str">
        <f t="shared" si="1"/>
        <v/>
      </c>
    </row>
  </sheetData>
  <mergeCells count="7">
    <mergeCell ref="AT1:AW1"/>
    <mergeCell ref="AN1:AS1"/>
    <mergeCell ref="G1:M1"/>
    <mergeCell ref="N1:V1"/>
    <mergeCell ref="W1:AB1"/>
    <mergeCell ref="AC1:AJ1"/>
    <mergeCell ref="AK1:AM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AD46"/>
  <sheetViews>
    <sheetView showGridLines="0" tabSelected="1" zoomScaleNormal="100" workbookViewId="0">
      <selection activeCell="J4" sqref="J4"/>
    </sheetView>
  </sheetViews>
  <sheetFormatPr baseColWidth="10" defaultRowHeight="15" x14ac:dyDescent="0.25"/>
  <cols>
    <col min="1" max="1" width="3" customWidth="1"/>
    <col min="2" max="2" width="3.28515625" customWidth="1"/>
    <col min="11" max="11" width="3.28515625" customWidth="1"/>
    <col min="12" max="12" width="2.28515625" customWidth="1"/>
    <col min="13" max="13" width="3.28515625" customWidth="1"/>
    <col min="14" max="14" width="17.7109375" customWidth="1"/>
    <col min="15" max="15" width="11.7109375" customWidth="1"/>
    <col min="16" max="16" width="17.7109375" customWidth="1"/>
    <col min="17" max="17" width="11.7109375" customWidth="1"/>
    <col min="18" max="18" width="17.7109375" customWidth="1"/>
    <col min="19" max="19" width="11.7109375" customWidth="1"/>
    <col min="20" max="20" width="3.28515625" customWidth="1"/>
    <col min="21" max="21" width="2.42578125" customWidth="1"/>
    <col min="22" max="22" width="3.28515625" customWidth="1"/>
    <col min="23" max="29" width="12.7109375" customWidth="1"/>
    <col min="30" max="30" width="3.28515625" customWidth="1"/>
  </cols>
  <sheetData>
    <row r="2" spans="2:30" ht="15.75" thickBot="1" x14ac:dyDescent="0.3">
      <c r="F2" s="57"/>
    </row>
    <row r="3" spans="2:30" ht="15.75" thickBot="1" x14ac:dyDescent="0.3">
      <c r="C3" s="58" t="s">
        <v>36</v>
      </c>
      <c r="D3" s="60"/>
      <c r="I3" s="16" t="s">
        <v>64</v>
      </c>
      <c r="J3" s="26">
        <v>3</v>
      </c>
      <c r="N3" s="58" t="s">
        <v>65</v>
      </c>
      <c r="O3" s="60"/>
      <c r="W3" s="61" t="s">
        <v>66</v>
      </c>
      <c r="X3" s="62"/>
    </row>
    <row r="4" spans="2:30" ht="5.0999999999999996" customHeight="1" thickBot="1" x14ac:dyDescent="0.3">
      <c r="C4" s="18"/>
      <c r="D4" s="18"/>
      <c r="N4" s="19"/>
      <c r="O4" s="19"/>
    </row>
    <row r="5" spans="2:30" ht="15.75" thickBot="1" x14ac:dyDescent="0.3">
      <c r="B5" s="20"/>
      <c r="C5" s="21"/>
      <c r="D5" s="21"/>
      <c r="E5" s="21"/>
      <c r="F5" s="21"/>
      <c r="G5" s="21"/>
      <c r="H5" s="21"/>
      <c r="I5" s="21"/>
      <c r="J5" s="21"/>
      <c r="K5" s="22"/>
      <c r="M5" s="20"/>
      <c r="N5" s="21"/>
      <c r="O5" s="21"/>
      <c r="P5" s="21"/>
      <c r="Q5" s="21"/>
      <c r="R5" s="21"/>
      <c r="S5" s="21"/>
      <c r="T5" s="22"/>
      <c r="V5" s="63"/>
      <c r="W5" s="64"/>
      <c r="X5" s="64"/>
      <c r="Y5" s="64"/>
      <c r="Z5" s="64"/>
      <c r="AA5" s="64"/>
      <c r="AB5" s="64"/>
      <c r="AC5" s="64"/>
      <c r="AD5" s="65"/>
    </row>
    <row r="6" spans="2:30" ht="15.75" thickBot="1" x14ac:dyDescent="0.3">
      <c r="B6" s="23"/>
      <c r="C6" s="24" t="s">
        <v>67</v>
      </c>
      <c r="D6" s="72" t="str">
        <f>IF(J3="","",VLOOKUP(J3,_xlnm.Database,7))</f>
        <v>C/PUERTO DEL PICO O LAS MINAS 2</v>
      </c>
      <c r="E6" s="73"/>
      <c r="F6" s="73"/>
      <c r="G6" s="73"/>
      <c r="H6" s="74"/>
      <c r="I6" s="25" t="s">
        <v>68</v>
      </c>
      <c r="J6" s="26">
        <f>IF($J$3="","",VLOOKUP($J$3,_xlnm.Database,8))</f>
        <v>28365</v>
      </c>
      <c r="K6" s="27"/>
      <c r="M6" s="23"/>
      <c r="N6" s="75" t="s">
        <v>69</v>
      </c>
      <c r="O6" s="75"/>
      <c r="P6" s="25"/>
      <c r="Q6" s="24"/>
      <c r="R6" s="25"/>
      <c r="S6" s="28"/>
      <c r="T6" s="27"/>
      <c r="V6" s="66"/>
      <c r="W6" s="67"/>
      <c r="X6" s="67"/>
      <c r="Y6" s="67"/>
      <c r="Z6" s="67"/>
      <c r="AA6" s="67"/>
      <c r="AB6" s="67"/>
      <c r="AC6" s="67"/>
      <c r="AD6" s="68"/>
    </row>
    <row r="7" spans="2:30" ht="15.75" thickBot="1" x14ac:dyDescent="0.3">
      <c r="B7" s="23"/>
      <c r="C7" s="24"/>
      <c r="D7" s="24"/>
      <c r="E7" s="24"/>
      <c r="F7" s="24"/>
      <c r="G7" s="24"/>
      <c r="H7" s="24"/>
      <c r="I7" s="24"/>
      <c r="J7" s="24"/>
      <c r="K7" s="27"/>
      <c r="M7" s="23"/>
      <c r="N7" s="29"/>
      <c r="O7" s="29"/>
      <c r="P7" s="25" t="s">
        <v>70</v>
      </c>
      <c r="Q7" s="17"/>
      <c r="R7" s="25" t="s">
        <v>71</v>
      </c>
      <c r="S7" s="45">
        <f>+MASTER!E3</f>
        <v>720872</v>
      </c>
      <c r="T7" s="27"/>
      <c r="V7" s="66"/>
      <c r="W7" s="67"/>
      <c r="X7" s="67"/>
      <c r="Y7" s="67"/>
      <c r="Z7" s="67"/>
      <c r="AA7" s="67"/>
      <c r="AB7" s="67"/>
      <c r="AC7" s="67"/>
      <c r="AD7" s="68"/>
    </row>
    <row r="8" spans="2:30" ht="15.75" thickBot="1" x14ac:dyDescent="0.3">
      <c r="B8" s="23"/>
      <c r="C8" s="24" t="s">
        <v>72</v>
      </c>
      <c r="D8" s="76" t="str">
        <f>IF(J3="","",VLOOKUP(J3,_xlnm.Database,9))</f>
        <v>-</v>
      </c>
      <c r="E8" s="77"/>
      <c r="F8" s="78"/>
      <c r="G8" s="25" t="s">
        <v>73</v>
      </c>
      <c r="H8" s="76" t="str">
        <f>IF(J3="","",VLOOKUP(J3,_xlnm.Database,10))</f>
        <v>MADRID</v>
      </c>
      <c r="I8" s="77"/>
      <c r="J8" s="78"/>
      <c r="K8" s="27"/>
      <c r="M8" s="23"/>
      <c r="N8" s="24"/>
      <c r="O8" s="48"/>
      <c r="P8" s="24"/>
      <c r="Q8" s="24"/>
      <c r="R8" s="24"/>
      <c r="S8" s="24"/>
      <c r="T8" s="27"/>
      <c r="V8" s="66"/>
      <c r="W8" s="67"/>
      <c r="X8" s="67"/>
      <c r="Y8" s="67"/>
      <c r="Z8" s="67"/>
      <c r="AA8" s="67"/>
      <c r="AB8" s="67"/>
      <c r="AC8" s="67"/>
      <c r="AD8" s="68"/>
    </row>
    <row r="9" spans="2:30" ht="15.75" thickBot="1" x14ac:dyDescent="0.3">
      <c r="B9" s="23"/>
      <c r="C9" s="24"/>
      <c r="D9" s="24"/>
      <c r="E9" s="24"/>
      <c r="F9" s="24"/>
      <c r="G9" s="24"/>
      <c r="H9" s="24"/>
      <c r="I9" s="24"/>
      <c r="J9" s="24"/>
      <c r="K9" s="27"/>
      <c r="M9" s="23"/>
      <c r="N9" s="24" t="s">
        <v>74</v>
      </c>
      <c r="O9" s="30" t="str">
        <f>IF(J3="","",VLOOKUP(J3,_xlnm.Database,23))</f>
        <v>-</v>
      </c>
      <c r="P9" s="25" t="s">
        <v>75</v>
      </c>
      <c r="Q9" s="31" t="str">
        <f>IF(J3="","",VLOOKUP(J3,_xlnm.Database,24))</f>
        <v>-</v>
      </c>
      <c r="R9" s="25" t="s">
        <v>76</v>
      </c>
      <c r="S9" s="31" t="str">
        <f>IF(J3="","",VLOOKUP(J3,_xlnm.Database,25))</f>
        <v>-</v>
      </c>
      <c r="T9" s="27"/>
      <c r="V9" s="66"/>
      <c r="W9" s="67"/>
      <c r="X9" s="67"/>
      <c r="Y9" s="67"/>
      <c r="Z9" s="67"/>
      <c r="AA9" s="67"/>
      <c r="AB9" s="67"/>
      <c r="AC9" s="67"/>
      <c r="AD9" s="68"/>
    </row>
    <row r="10" spans="2:30" ht="15.75" thickBot="1" x14ac:dyDescent="0.3">
      <c r="B10" s="23"/>
      <c r="C10" s="24" t="s">
        <v>77</v>
      </c>
      <c r="D10" s="72" t="str">
        <f>IF(J3="","",VLOOKUP(J3,_xlnm.Database,11))</f>
        <v>PISO</v>
      </c>
      <c r="E10" s="74"/>
      <c r="F10" s="49" t="s">
        <v>114</v>
      </c>
      <c r="G10" s="50">
        <f>IF(J3="","",VLOOKUP(J3,_xlnm.Database,12))</f>
        <v>174</v>
      </c>
      <c r="H10" s="25" t="s">
        <v>78</v>
      </c>
      <c r="I10" s="76" t="str">
        <f>IF(J3="","",VLOOKUP(J3,_xlnm.Database,13))</f>
        <v>-</v>
      </c>
      <c r="J10" s="78"/>
      <c r="K10" s="27"/>
      <c r="M10" s="23"/>
      <c r="N10" s="24"/>
      <c r="O10" s="24"/>
      <c r="P10" s="24"/>
      <c r="Q10" s="24"/>
      <c r="R10" s="24"/>
      <c r="S10" s="24"/>
      <c r="T10" s="27"/>
      <c r="V10" s="66"/>
      <c r="W10" s="67"/>
      <c r="X10" s="67"/>
      <c r="Y10" s="67"/>
      <c r="Z10" s="67"/>
      <c r="AA10" s="67"/>
      <c r="AB10" s="67"/>
      <c r="AC10" s="67"/>
      <c r="AD10" s="68"/>
    </row>
    <row r="11" spans="2:30" ht="15.75" thickBot="1" x14ac:dyDescent="0.3">
      <c r="B11" s="32"/>
      <c r="C11" s="33"/>
      <c r="D11" s="34"/>
      <c r="E11" s="34"/>
      <c r="F11" s="35"/>
      <c r="G11" s="33"/>
      <c r="H11" s="35"/>
      <c r="I11" s="35"/>
      <c r="J11" s="35"/>
      <c r="K11" s="36"/>
      <c r="M11" s="23"/>
      <c r="N11" s="24" t="s">
        <v>79</v>
      </c>
      <c r="O11" s="30">
        <f>IF(J3="","",VLOOKUP(J3,_xlnm.Database,26))</f>
        <v>132201</v>
      </c>
      <c r="P11" s="25" t="s">
        <v>80</v>
      </c>
      <c r="Q11" s="30">
        <f>IF(J3="","",VLOOKUP(J3,_xlnm.Database,27))</f>
        <v>139425</v>
      </c>
      <c r="R11" s="25" t="s">
        <v>81</v>
      </c>
      <c r="S11" s="30" t="str">
        <f>IF(J3="","",VLOOKUP(J3,_xlnm.Database,28))</f>
        <v>-</v>
      </c>
      <c r="T11" s="27"/>
      <c r="V11" s="66"/>
      <c r="W11" s="67"/>
      <c r="X11" s="67"/>
      <c r="Y11" s="67"/>
      <c r="Z11" s="67"/>
      <c r="AA11" s="67"/>
      <c r="AB11" s="67"/>
      <c r="AC11" s="67"/>
      <c r="AD11" s="68"/>
    </row>
    <row r="12" spans="2:30" ht="15.75" thickBot="1" x14ac:dyDescent="0.3">
      <c r="D12" s="24"/>
      <c r="E12" s="24"/>
      <c r="F12" s="24"/>
      <c r="H12" s="24"/>
      <c r="I12" s="24"/>
      <c r="J12" s="24"/>
      <c r="M12" s="23"/>
      <c r="N12" s="24"/>
      <c r="O12" s="24"/>
      <c r="P12" s="24"/>
      <c r="Q12" s="24"/>
      <c r="R12" s="24"/>
      <c r="S12" s="24"/>
      <c r="T12" s="27"/>
      <c r="V12" s="66"/>
      <c r="W12" s="67"/>
      <c r="X12" s="67"/>
      <c r="Y12" s="67"/>
      <c r="Z12" s="67"/>
      <c r="AA12" s="67"/>
      <c r="AB12" s="67"/>
      <c r="AC12" s="67"/>
      <c r="AD12" s="68"/>
    </row>
    <row r="13" spans="2:30" ht="15.75" thickBot="1" x14ac:dyDescent="0.3">
      <c r="B13" s="79" t="str">
        <f>"IMAGEN"&amp;VLOOKUP(J3,IMAGENES!$A$1:$B$31,2,0)</f>
        <v>IMAGEN3</v>
      </c>
      <c r="C13" s="80"/>
      <c r="D13" s="80"/>
      <c r="E13" s="80"/>
      <c r="F13" s="81"/>
      <c r="G13" s="63"/>
      <c r="H13" s="64"/>
      <c r="I13" s="64"/>
      <c r="J13" s="64"/>
      <c r="K13" s="65"/>
      <c r="M13" s="23"/>
      <c r="N13" s="37" t="s">
        <v>82</v>
      </c>
      <c r="O13" s="24"/>
      <c r="P13" s="25"/>
      <c r="Q13" s="24"/>
      <c r="R13" s="25"/>
      <c r="S13" s="28"/>
      <c r="T13" s="27"/>
      <c r="V13" s="66"/>
      <c r="W13" s="67"/>
      <c r="X13" s="67"/>
      <c r="Y13" s="67"/>
      <c r="Z13" s="67"/>
      <c r="AA13" s="67"/>
      <c r="AB13" s="67"/>
      <c r="AC13" s="67"/>
      <c r="AD13" s="68"/>
    </row>
    <row r="14" spans="2:30" ht="15.75" thickBot="1" x14ac:dyDescent="0.3">
      <c r="B14" s="82"/>
      <c r="C14" s="83"/>
      <c r="D14" s="83"/>
      <c r="E14" s="83"/>
      <c r="F14" s="84"/>
      <c r="G14" s="66"/>
      <c r="H14" s="67"/>
      <c r="I14" s="67"/>
      <c r="J14" s="67"/>
      <c r="K14" s="68"/>
      <c r="M14" s="23"/>
      <c r="N14" s="37"/>
      <c r="O14" s="24"/>
      <c r="P14" s="25" t="s">
        <v>83</v>
      </c>
      <c r="Q14" s="40" t="str">
        <f>IF(J3="","",VLOOKUP(J3,_xlnm.Database,29))</f>
        <v>-</v>
      </c>
      <c r="R14" s="25" t="s">
        <v>84</v>
      </c>
      <c r="S14" s="46">
        <f>IF(J3="","",VLOOKUP(J3,_xlnm.Database,30))</f>
        <v>32</v>
      </c>
      <c r="T14" s="27"/>
      <c r="V14" s="66"/>
      <c r="W14" s="67"/>
      <c r="X14" s="67"/>
      <c r="Y14" s="67"/>
      <c r="Z14" s="67"/>
      <c r="AA14" s="67"/>
      <c r="AB14" s="67"/>
      <c r="AC14" s="67"/>
      <c r="AD14" s="68"/>
    </row>
    <row r="15" spans="2:30" ht="15.75" thickBot="1" x14ac:dyDescent="0.3">
      <c r="B15" s="82"/>
      <c r="C15" s="83"/>
      <c r="D15" s="83"/>
      <c r="E15" s="83"/>
      <c r="F15" s="84"/>
      <c r="G15" s="66"/>
      <c r="H15" s="67"/>
      <c r="I15" s="67"/>
      <c r="J15" s="67"/>
      <c r="K15" s="68"/>
      <c r="M15" s="23"/>
      <c r="N15" s="24"/>
      <c r="O15" s="24"/>
      <c r="P15" s="24"/>
      <c r="Q15" s="24"/>
      <c r="R15" s="24"/>
      <c r="S15" s="24"/>
      <c r="T15" s="27"/>
      <c r="V15" s="66"/>
      <c r="W15" s="67"/>
      <c r="X15" s="67"/>
      <c r="Y15" s="67"/>
      <c r="Z15" s="67"/>
      <c r="AA15" s="67"/>
      <c r="AB15" s="67"/>
      <c r="AC15" s="67"/>
      <c r="AD15" s="68"/>
    </row>
    <row r="16" spans="2:30" ht="15.75" thickBot="1" x14ac:dyDescent="0.3">
      <c r="B16" s="82"/>
      <c r="C16" s="83"/>
      <c r="D16" s="83"/>
      <c r="E16" s="83"/>
      <c r="F16" s="84"/>
      <c r="G16" s="66"/>
      <c r="H16" s="67"/>
      <c r="I16" s="67"/>
      <c r="J16" s="67"/>
      <c r="K16" s="68"/>
      <c r="M16" s="23"/>
      <c r="N16" s="24" t="s">
        <v>85</v>
      </c>
      <c r="O16" s="30" t="str">
        <f>IF(J3="","",VLOOKUP(J3,_xlnm.Database,31))</f>
        <v>-</v>
      </c>
      <c r="P16" s="25" t="s">
        <v>86</v>
      </c>
      <c r="Q16" s="30" t="str">
        <f>IF(J3="","",VLOOKUP(J3,_xlnm.Database,32))</f>
        <v>-</v>
      </c>
      <c r="R16" s="25" t="s">
        <v>87</v>
      </c>
      <c r="S16" s="30" t="str">
        <f>IF(J3="","",VLOOKUP(J3,_xlnm.Database,33))</f>
        <v>-</v>
      </c>
      <c r="T16" s="27"/>
      <c r="V16" s="66"/>
      <c r="W16" s="67"/>
      <c r="X16" s="67"/>
      <c r="Y16" s="67"/>
      <c r="Z16" s="67"/>
      <c r="AA16" s="67"/>
      <c r="AB16" s="67"/>
      <c r="AC16" s="67"/>
      <c r="AD16" s="68"/>
    </row>
    <row r="17" spans="2:30" ht="15.75" thickBot="1" x14ac:dyDescent="0.3">
      <c r="B17" s="82"/>
      <c r="C17" s="83"/>
      <c r="D17" s="83"/>
      <c r="E17" s="83"/>
      <c r="F17" s="84"/>
      <c r="G17" s="66"/>
      <c r="H17" s="67"/>
      <c r="I17" s="67"/>
      <c r="J17" s="67"/>
      <c r="K17" s="68"/>
      <c r="M17" s="23"/>
      <c r="N17" s="24"/>
      <c r="O17" s="24"/>
      <c r="P17" s="24"/>
      <c r="Q17" s="24"/>
      <c r="R17" s="24"/>
      <c r="S17" s="24"/>
      <c r="T17" s="27"/>
      <c r="V17" s="66"/>
      <c r="W17" s="67"/>
      <c r="X17" s="67"/>
      <c r="Y17" s="67"/>
      <c r="Z17" s="67"/>
      <c r="AA17" s="67"/>
      <c r="AB17" s="67"/>
      <c r="AC17" s="67"/>
      <c r="AD17" s="68"/>
    </row>
    <row r="18" spans="2:30" ht="15.75" thickBot="1" x14ac:dyDescent="0.3">
      <c r="B18" s="82"/>
      <c r="C18" s="83"/>
      <c r="D18" s="83"/>
      <c r="E18" s="83"/>
      <c r="F18" s="84"/>
      <c r="G18" s="66"/>
      <c r="H18" s="67"/>
      <c r="I18" s="67"/>
      <c r="J18" s="67"/>
      <c r="K18" s="68"/>
      <c r="M18" s="23"/>
      <c r="N18" s="24" t="s">
        <v>88</v>
      </c>
      <c r="O18" s="30">
        <f>IF(O16="-",0,O16+Q16+S16)</f>
        <v>0</v>
      </c>
      <c r="P18" s="25" t="s">
        <v>89</v>
      </c>
      <c r="Q18" s="30">
        <f>IF(O11="","",0.6*O11)</f>
        <v>79320.599999999991</v>
      </c>
      <c r="R18" s="25" t="s">
        <v>90</v>
      </c>
      <c r="S18" s="30" t="str">
        <f>IF(J3="","",VLOOKUP(J3,_xlnm.Database,36))</f>
        <v>NO</v>
      </c>
      <c r="T18" s="27"/>
      <c r="V18" s="66"/>
      <c r="W18" s="67"/>
      <c r="X18" s="67"/>
      <c r="Y18" s="67"/>
      <c r="Z18" s="67"/>
      <c r="AA18" s="67"/>
      <c r="AB18" s="67"/>
      <c r="AC18" s="67"/>
      <c r="AD18" s="68"/>
    </row>
    <row r="19" spans="2:30" x14ac:dyDescent="0.25">
      <c r="B19" s="82"/>
      <c r="C19" s="83"/>
      <c r="D19" s="83"/>
      <c r="E19" s="83"/>
      <c r="F19" s="84"/>
      <c r="G19" s="66"/>
      <c r="H19" s="67"/>
      <c r="I19" s="67"/>
      <c r="J19" s="67"/>
      <c r="K19" s="68"/>
      <c r="M19" s="23"/>
      <c r="N19" s="24"/>
      <c r="O19" s="24"/>
      <c r="P19" s="24"/>
      <c r="Q19" s="24"/>
      <c r="R19" s="24"/>
      <c r="S19" s="24"/>
      <c r="T19" s="27"/>
      <c r="V19" s="66"/>
      <c r="W19" s="67"/>
      <c r="X19" s="67"/>
      <c r="Y19" s="67"/>
      <c r="Z19" s="67"/>
      <c r="AA19" s="67"/>
      <c r="AB19" s="67"/>
      <c r="AC19" s="67"/>
      <c r="AD19" s="68"/>
    </row>
    <row r="20" spans="2:30" x14ac:dyDescent="0.25">
      <c r="B20" s="82"/>
      <c r="C20" s="83"/>
      <c r="D20" s="83"/>
      <c r="E20" s="83"/>
      <c r="F20" s="84"/>
      <c r="G20" s="66"/>
      <c r="H20" s="67"/>
      <c r="I20" s="67"/>
      <c r="J20" s="67"/>
      <c r="K20" s="68"/>
      <c r="M20" s="23"/>
      <c r="N20" s="24" t="s">
        <v>29</v>
      </c>
      <c r="O20" s="24"/>
      <c r="P20" s="24"/>
      <c r="Q20" s="24"/>
      <c r="R20" s="24"/>
      <c r="S20" s="24"/>
      <c r="T20" s="27"/>
      <c r="V20" s="66"/>
      <c r="W20" s="67"/>
      <c r="X20" s="67"/>
      <c r="Y20" s="67"/>
      <c r="Z20" s="67"/>
      <c r="AA20" s="67"/>
      <c r="AB20" s="67"/>
      <c r="AC20" s="67"/>
      <c r="AD20" s="68"/>
    </row>
    <row r="21" spans="2:30" ht="15.75" thickBot="1" x14ac:dyDescent="0.3">
      <c r="B21" s="82"/>
      <c r="C21" s="83"/>
      <c r="D21" s="83"/>
      <c r="E21" s="83"/>
      <c r="F21" s="84"/>
      <c r="G21" s="66"/>
      <c r="H21" s="67"/>
      <c r="I21" s="67"/>
      <c r="J21" s="67"/>
      <c r="K21" s="68"/>
      <c r="M21" s="23"/>
      <c r="N21" s="24"/>
      <c r="O21" s="24"/>
      <c r="P21" s="24"/>
      <c r="Q21" s="24"/>
      <c r="R21" s="24"/>
      <c r="S21" s="24"/>
      <c r="T21" s="27"/>
      <c r="V21" s="66"/>
      <c r="W21" s="67"/>
      <c r="X21" s="67"/>
      <c r="Y21" s="67"/>
      <c r="Z21" s="67"/>
      <c r="AA21" s="67"/>
      <c r="AB21" s="67"/>
      <c r="AC21" s="67"/>
      <c r="AD21" s="68"/>
    </row>
    <row r="22" spans="2:30" ht="15.75" thickBot="1" x14ac:dyDescent="0.3">
      <c r="B22" s="82"/>
      <c r="C22" s="83"/>
      <c r="D22" s="83"/>
      <c r="E22" s="83"/>
      <c r="F22" s="84"/>
      <c r="G22" s="66"/>
      <c r="H22" s="67"/>
      <c r="I22" s="67"/>
      <c r="J22" s="67"/>
      <c r="K22" s="68"/>
      <c r="M22" s="23"/>
      <c r="N22" s="24" t="s">
        <v>91</v>
      </c>
      <c r="O22" s="30">
        <f>IF(J3="","",VLOOKUP(J3,_xlnm.Database,37))</f>
        <v>102000</v>
      </c>
      <c r="P22" s="25" t="s">
        <v>75</v>
      </c>
      <c r="Q22" s="31" t="str">
        <f>IF(J3="","",VLOOKUP(J3,_xlnm.Database,38))</f>
        <v>-</v>
      </c>
      <c r="R22" s="25" t="s">
        <v>92</v>
      </c>
      <c r="S22" s="30" t="str">
        <f>IF(J3="","",VLOOKUP(J3,_xlnm.Database,39))</f>
        <v>-</v>
      </c>
      <c r="T22" s="27"/>
      <c r="V22" s="66"/>
      <c r="W22" s="67"/>
      <c r="X22" s="67"/>
      <c r="Y22" s="67"/>
      <c r="Z22" s="67"/>
      <c r="AA22" s="67"/>
      <c r="AB22" s="67"/>
      <c r="AC22" s="67"/>
      <c r="AD22" s="68"/>
    </row>
    <row r="23" spans="2:30" ht="15.75" thickBot="1" x14ac:dyDescent="0.3">
      <c r="B23" s="85"/>
      <c r="C23" s="86"/>
      <c r="D23" s="86"/>
      <c r="E23" s="86"/>
      <c r="F23" s="87"/>
      <c r="G23" s="69"/>
      <c r="H23" s="70"/>
      <c r="I23" s="70"/>
      <c r="J23" s="70"/>
      <c r="K23" s="71"/>
      <c r="M23" s="23"/>
      <c r="N23" s="24"/>
      <c r="O23" s="28"/>
      <c r="P23" s="25"/>
      <c r="Q23" s="28"/>
      <c r="R23" s="25"/>
      <c r="S23" s="28"/>
      <c r="T23" s="27"/>
      <c r="V23" s="66"/>
      <c r="W23" s="67"/>
      <c r="X23" s="67"/>
      <c r="Y23" s="67"/>
      <c r="Z23" s="67"/>
      <c r="AA23" s="67"/>
      <c r="AB23" s="67"/>
      <c r="AC23" s="67"/>
      <c r="AD23" s="68"/>
    </row>
    <row r="24" spans="2:30" ht="15.75" thickBot="1" x14ac:dyDescent="0.3">
      <c r="M24" s="23"/>
      <c r="N24" s="24"/>
      <c r="O24" s="24"/>
      <c r="P24" s="24"/>
      <c r="Q24" s="24"/>
      <c r="R24" s="24"/>
      <c r="S24" s="24"/>
      <c r="T24" s="27"/>
      <c r="V24" s="66"/>
      <c r="W24" s="67"/>
      <c r="X24" s="67"/>
      <c r="Y24" s="67"/>
      <c r="Z24" s="67"/>
      <c r="AA24" s="67"/>
      <c r="AB24" s="67"/>
      <c r="AC24" s="67"/>
      <c r="AD24" s="68"/>
    </row>
    <row r="25" spans="2:30" ht="15.75" thickBot="1" x14ac:dyDescent="0.3">
      <c r="C25" s="58" t="s">
        <v>93</v>
      </c>
      <c r="D25" s="60"/>
      <c r="M25" s="23"/>
      <c r="N25" s="38" t="s">
        <v>94</v>
      </c>
      <c r="O25" s="21"/>
      <c r="P25" s="21"/>
      <c r="Q25" s="21"/>
      <c r="R25" s="21"/>
      <c r="S25" s="22"/>
      <c r="T25" s="27"/>
      <c r="V25" s="66"/>
      <c r="W25" s="67"/>
      <c r="X25" s="67"/>
      <c r="Y25" s="67"/>
      <c r="Z25" s="67"/>
      <c r="AA25" s="67"/>
      <c r="AB25" s="67"/>
      <c r="AC25" s="67"/>
      <c r="AD25" s="68"/>
    </row>
    <row r="26" spans="2:30" ht="5.0999999999999996" customHeight="1" thickBot="1" x14ac:dyDescent="0.3">
      <c r="C26" s="21"/>
      <c r="M26" s="23"/>
      <c r="N26" s="66"/>
      <c r="O26" s="67"/>
      <c r="P26" s="67"/>
      <c r="Q26" s="67"/>
      <c r="R26" s="67"/>
      <c r="S26" s="68"/>
      <c r="T26" s="27"/>
      <c r="V26" s="66"/>
      <c r="W26" s="67"/>
      <c r="X26" s="67"/>
      <c r="Y26" s="67"/>
      <c r="Z26" s="67"/>
      <c r="AA26" s="67"/>
      <c r="AB26" s="67"/>
      <c r="AC26" s="67"/>
      <c r="AD26" s="68"/>
    </row>
    <row r="27" spans="2:30" ht="15.75" thickBot="1" x14ac:dyDescent="0.3">
      <c r="B27" s="20"/>
      <c r="C27" s="21"/>
      <c r="D27" s="21"/>
      <c r="E27" s="21"/>
      <c r="F27" s="21"/>
      <c r="G27" s="21"/>
      <c r="H27" s="21"/>
      <c r="I27" s="21"/>
      <c r="J27" s="21"/>
      <c r="K27" s="22"/>
      <c r="M27" s="23"/>
      <c r="N27" s="66"/>
      <c r="O27" s="67"/>
      <c r="P27" s="67"/>
      <c r="Q27" s="67"/>
      <c r="R27" s="67"/>
      <c r="S27" s="68"/>
      <c r="T27" s="27"/>
      <c r="V27" s="66"/>
      <c r="W27" s="67"/>
      <c r="X27" s="67"/>
      <c r="Y27" s="67"/>
      <c r="Z27" s="67"/>
      <c r="AA27" s="67"/>
      <c r="AB27" s="67"/>
      <c r="AC27" s="67"/>
      <c r="AD27" s="68"/>
    </row>
    <row r="28" spans="2:30" ht="15.75" thickBot="1" x14ac:dyDescent="0.3">
      <c r="B28" s="23"/>
      <c r="C28" s="51" t="s">
        <v>115</v>
      </c>
      <c r="D28" s="72" t="str">
        <f>IF(J3="","",VLOOKUP(J3,_xlnm.Database,14))</f>
        <v>FERNANDO</v>
      </c>
      <c r="E28" s="73"/>
      <c r="F28" s="73"/>
      <c r="G28" s="73"/>
      <c r="H28" s="74"/>
      <c r="I28" s="25" t="s">
        <v>95</v>
      </c>
      <c r="J28" s="39" t="str">
        <f>IF(J3="","",VLOOKUP(J3,_xlnm.Database,15))</f>
        <v>91 824 55 003</v>
      </c>
      <c r="K28" s="27"/>
      <c r="M28" s="23"/>
      <c r="N28" s="66"/>
      <c r="O28" s="67"/>
      <c r="P28" s="67"/>
      <c r="Q28" s="67"/>
      <c r="R28" s="67"/>
      <c r="S28" s="68"/>
      <c r="T28" s="27"/>
      <c r="V28" s="66"/>
      <c r="W28" s="67"/>
      <c r="X28" s="67"/>
      <c r="Y28" s="67"/>
      <c r="Z28" s="67"/>
      <c r="AA28" s="67"/>
      <c r="AB28" s="67"/>
      <c r="AC28" s="67"/>
      <c r="AD28" s="68"/>
    </row>
    <row r="29" spans="2:30" ht="15.75" thickBot="1" x14ac:dyDescent="0.3">
      <c r="B29" s="23"/>
      <c r="C29" s="24"/>
      <c r="D29" s="25"/>
      <c r="E29" s="25"/>
      <c r="F29" s="25"/>
      <c r="G29" s="25"/>
      <c r="H29" s="25"/>
      <c r="I29" s="25"/>
      <c r="J29" s="25"/>
      <c r="K29" s="27"/>
      <c r="M29" s="23"/>
      <c r="N29" s="66"/>
      <c r="O29" s="67"/>
      <c r="P29" s="67"/>
      <c r="Q29" s="67"/>
      <c r="R29" s="67"/>
      <c r="S29" s="68"/>
      <c r="T29" s="27"/>
      <c r="V29" s="66"/>
      <c r="W29" s="67"/>
      <c r="X29" s="67"/>
      <c r="Y29" s="67"/>
      <c r="Z29" s="67"/>
      <c r="AA29" s="67"/>
      <c r="AB29" s="67"/>
      <c r="AC29" s="67"/>
      <c r="AD29" s="68"/>
    </row>
    <row r="30" spans="2:30" ht="15.75" thickBot="1" x14ac:dyDescent="0.3">
      <c r="B30" s="23"/>
      <c r="C30" s="24" t="s">
        <v>96</v>
      </c>
      <c r="D30" s="39" t="str">
        <f>IF(J3="","",VLOOKUP(J3,_xlnm.Database,16))</f>
        <v>654 258 698</v>
      </c>
      <c r="E30" s="25" t="s">
        <v>97</v>
      </c>
      <c r="F30" s="72" t="str">
        <f>IF(J3="","",VLOOKUP(J3,_xlnm.Database,17))</f>
        <v>-</v>
      </c>
      <c r="G30" s="74"/>
      <c r="H30" s="25" t="s">
        <v>98</v>
      </c>
      <c r="I30" s="76" t="str">
        <f>IF(J3="","",VLOOKUP(J3,_xlnm.Database,19))</f>
        <v>ESPAÑA</v>
      </c>
      <c r="J30" s="78"/>
      <c r="K30" s="27"/>
      <c r="M30" s="23"/>
      <c r="N30" s="66"/>
      <c r="O30" s="67"/>
      <c r="P30" s="67"/>
      <c r="Q30" s="67"/>
      <c r="R30" s="67"/>
      <c r="S30" s="68"/>
      <c r="T30" s="27"/>
      <c r="V30" s="66"/>
      <c r="W30" s="67"/>
      <c r="X30" s="67"/>
      <c r="Y30" s="67"/>
      <c r="Z30" s="67"/>
      <c r="AA30" s="67"/>
      <c r="AB30" s="67"/>
      <c r="AC30" s="67"/>
      <c r="AD30" s="68"/>
    </row>
    <row r="31" spans="2:30" ht="15.75" thickBot="1" x14ac:dyDescent="0.3">
      <c r="B31" s="23"/>
      <c r="C31" s="24"/>
      <c r="D31" s="25"/>
      <c r="E31" s="25"/>
      <c r="F31" s="25"/>
      <c r="G31" s="25"/>
      <c r="H31" s="25"/>
      <c r="I31" s="25"/>
      <c r="J31" s="25"/>
      <c r="K31" s="27"/>
      <c r="M31" s="23"/>
      <c r="N31" s="66"/>
      <c r="O31" s="67"/>
      <c r="P31" s="67"/>
      <c r="Q31" s="67"/>
      <c r="R31" s="67"/>
      <c r="S31" s="68"/>
      <c r="T31" s="27"/>
      <c r="V31" s="66"/>
      <c r="W31" s="67"/>
      <c r="X31" s="67"/>
      <c r="Y31" s="67"/>
      <c r="Z31" s="67"/>
      <c r="AA31" s="67"/>
      <c r="AB31" s="67"/>
      <c r="AC31" s="67"/>
      <c r="AD31" s="68"/>
    </row>
    <row r="32" spans="2:30" ht="15.75" thickBot="1" x14ac:dyDescent="0.3">
      <c r="B32" s="23"/>
      <c r="C32" s="88" t="s">
        <v>99</v>
      </c>
      <c r="D32" s="88"/>
      <c r="E32" s="26" t="str">
        <f>IF(J3="","",VLOOKUP(J3,_xlnm.Database,20))</f>
        <v>-</v>
      </c>
      <c r="F32" s="25"/>
      <c r="G32" s="88" t="s">
        <v>100</v>
      </c>
      <c r="H32" s="88"/>
      <c r="I32" s="40" t="str">
        <f>IF(J3="","",VLOOKUP(J3,_xlnm.Database,18))</f>
        <v>-</v>
      </c>
      <c r="J32" s="25"/>
      <c r="K32" s="27"/>
      <c r="M32" s="23"/>
      <c r="N32" s="69"/>
      <c r="O32" s="70"/>
      <c r="P32" s="70"/>
      <c r="Q32" s="70"/>
      <c r="R32" s="70"/>
      <c r="S32" s="71"/>
      <c r="T32" s="27"/>
      <c r="V32" s="66"/>
      <c r="W32" s="67"/>
      <c r="X32" s="67"/>
      <c r="Y32" s="67"/>
      <c r="Z32" s="67"/>
      <c r="AA32" s="67"/>
      <c r="AB32" s="67"/>
      <c r="AC32" s="67"/>
      <c r="AD32" s="68"/>
    </row>
    <row r="33" spans="2:30" ht="15.75" thickBot="1" x14ac:dyDescent="0.3">
      <c r="B33" s="23"/>
      <c r="C33" s="24"/>
      <c r="D33" s="25"/>
      <c r="E33" s="25"/>
      <c r="F33" s="25"/>
      <c r="G33" s="25"/>
      <c r="H33" s="25"/>
      <c r="I33" s="25"/>
      <c r="J33" s="25"/>
      <c r="K33" s="27"/>
      <c r="M33" s="32"/>
      <c r="N33" s="33"/>
      <c r="O33" s="33"/>
      <c r="P33" s="33"/>
      <c r="Q33" s="33"/>
      <c r="R33" s="33"/>
      <c r="S33" s="33"/>
      <c r="T33" s="36"/>
      <c r="V33" s="66"/>
      <c r="W33" s="67"/>
      <c r="X33" s="67"/>
      <c r="Y33" s="67"/>
      <c r="Z33" s="67"/>
      <c r="AA33" s="67"/>
      <c r="AB33" s="67"/>
      <c r="AC33" s="67"/>
      <c r="AD33" s="68"/>
    </row>
    <row r="34" spans="2:30" ht="15.75" thickBot="1" x14ac:dyDescent="0.3">
      <c r="B34" s="23"/>
      <c r="C34" s="24" t="s">
        <v>101</v>
      </c>
      <c r="D34" s="72" t="str">
        <f>IF(J3="","",VLOOKUP(J3,_xlnm.Database,21))</f>
        <v>-</v>
      </c>
      <c r="E34" s="73"/>
      <c r="F34" s="73"/>
      <c r="G34" s="73"/>
      <c r="H34" s="74"/>
      <c r="I34" s="25" t="s">
        <v>102</v>
      </c>
      <c r="J34" s="39" t="str">
        <f>IF(J3="","",VLOOKUP(J3,_xlnm.Database,22))</f>
        <v>-</v>
      </c>
      <c r="K34" s="27"/>
      <c r="V34" s="66"/>
      <c r="W34" s="67"/>
      <c r="X34" s="67"/>
      <c r="Y34" s="67"/>
      <c r="Z34" s="67"/>
      <c r="AA34" s="67"/>
      <c r="AB34" s="67"/>
      <c r="AC34" s="67"/>
      <c r="AD34" s="68"/>
    </row>
    <row r="35" spans="2:30" ht="15.75" thickBot="1" x14ac:dyDescent="0.3">
      <c r="B35" s="23"/>
      <c r="C35" s="24"/>
      <c r="D35" s="24"/>
      <c r="E35" s="24"/>
      <c r="F35" s="24"/>
      <c r="G35" s="24"/>
      <c r="H35" s="24"/>
      <c r="I35" s="24"/>
      <c r="J35" s="24"/>
      <c r="K35" s="27"/>
      <c r="N35" s="58" t="s">
        <v>103</v>
      </c>
      <c r="O35" s="60"/>
      <c r="V35" s="66"/>
      <c r="W35" s="67"/>
      <c r="X35" s="67"/>
      <c r="Y35" s="67"/>
      <c r="Z35" s="67"/>
      <c r="AA35" s="67"/>
      <c r="AB35" s="67"/>
      <c r="AC35" s="67"/>
      <c r="AD35" s="68"/>
    </row>
    <row r="36" spans="2:30" ht="15.75" thickBot="1" x14ac:dyDescent="0.3">
      <c r="B36" s="23"/>
      <c r="C36" s="24" t="s">
        <v>104</v>
      </c>
      <c r="D36" s="72"/>
      <c r="E36" s="73"/>
      <c r="F36" s="73"/>
      <c r="G36" s="73"/>
      <c r="H36" s="74"/>
      <c r="I36" s="25" t="s">
        <v>102</v>
      </c>
      <c r="J36" s="39"/>
      <c r="K36" s="27"/>
      <c r="N36" s="19"/>
      <c r="O36" s="19"/>
      <c r="V36" s="66"/>
      <c r="W36" s="67"/>
      <c r="X36" s="67"/>
      <c r="Y36" s="67"/>
      <c r="Z36" s="67"/>
      <c r="AA36" s="67"/>
      <c r="AB36" s="67"/>
      <c r="AC36" s="67"/>
      <c r="AD36" s="68"/>
    </row>
    <row r="37" spans="2:30" ht="15.75" thickBot="1" x14ac:dyDescent="0.3">
      <c r="B37" s="23"/>
      <c r="C37" s="24"/>
      <c r="D37" s="24"/>
      <c r="E37" s="24"/>
      <c r="F37" s="24"/>
      <c r="G37" s="24"/>
      <c r="H37" s="24"/>
      <c r="I37" s="24"/>
      <c r="J37" s="24"/>
      <c r="K37" s="27"/>
      <c r="M37" s="63"/>
      <c r="N37" s="64"/>
      <c r="O37" s="64"/>
      <c r="P37" s="64"/>
      <c r="Q37" s="64"/>
      <c r="R37" s="64"/>
      <c r="S37" s="64"/>
      <c r="T37" s="65"/>
      <c r="V37" s="66"/>
      <c r="W37" s="67"/>
      <c r="X37" s="67"/>
      <c r="Y37" s="67"/>
      <c r="Z37" s="67"/>
      <c r="AA37" s="67"/>
      <c r="AB37" s="67"/>
      <c r="AC37" s="67"/>
      <c r="AD37" s="68"/>
    </row>
    <row r="38" spans="2:30" ht="15.75" thickBot="1" x14ac:dyDescent="0.3">
      <c r="B38" s="23"/>
      <c r="C38" s="24" t="s">
        <v>105</v>
      </c>
      <c r="D38" s="72"/>
      <c r="E38" s="73"/>
      <c r="F38" s="73"/>
      <c r="G38" s="73"/>
      <c r="H38" s="73"/>
      <c r="I38" s="73"/>
      <c r="J38" s="74"/>
      <c r="K38" s="27"/>
      <c r="M38" s="66"/>
      <c r="N38" s="67"/>
      <c r="O38" s="67"/>
      <c r="P38" s="67"/>
      <c r="Q38" s="67"/>
      <c r="R38" s="67"/>
      <c r="S38" s="67"/>
      <c r="T38" s="68"/>
      <c r="V38" s="69"/>
      <c r="W38" s="70"/>
      <c r="X38" s="70"/>
      <c r="Y38" s="70"/>
      <c r="Z38" s="70"/>
      <c r="AA38" s="70"/>
      <c r="AB38" s="70"/>
      <c r="AC38" s="70"/>
      <c r="AD38" s="71"/>
    </row>
    <row r="39" spans="2:30" ht="15.75" thickBot="1" x14ac:dyDescent="0.3">
      <c r="B39" s="23"/>
      <c r="C39" s="24"/>
      <c r="D39" s="24"/>
      <c r="E39" s="24"/>
      <c r="F39" s="24"/>
      <c r="G39" s="24"/>
      <c r="H39" s="24"/>
      <c r="I39" s="24"/>
      <c r="J39" s="24"/>
      <c r="K39" s="27"/>
      <c r="M39" s="66"/>
      <c r="N39" s="67"/>
      <c r="O39" s="67"/>
      <c r="P39" s="67"/>
      <c r="Q39" s="67"/>
      <c r="R39" s="67"/>
      <c r="S39" s="67"/>
      <c r="T39" s="68"/>
      <c r="Z39" s="24"/>
    </row>
    <row r="40" spans="2:30" ht="15.75" thickBot="1" x14ac:dyDescent="0.3">
      <c r="B40" s="23"/>
      <c r="C40" s="90" t="s">
        <v>106</v>
      </c>
      <c r="D40" s="91"/>
      <c r="E40" s="21"/>
      <c r="F40" s="21"/>
      <c r="G40" s="21"/>
      <c r="H40" s="21"/>
      <c r="I40" s="21"/>
      <c r="J40" s="22"/>
      <c r="K40" s="27"/>
      <c r="M40" s="66"/>
      <c r="N40" s="67"/>
      <c r="O40" s="67"/>
      <c r="P40" s="67"/>
      <c r="Q40" s="67"/>
      <c r="R40" s="67"/>
      <c r="S40" s="67"/>
      <c r="T40" s="68"/>
      <c r="W40" s="41" t="s">
        <v>107</v>
      </c>
    </row>
    <row r="41" spans="2:30" ht="15.75" thickBot="1" x14ac:dyDescent="0.3">
      <c r="B41" s="23"/>
      <c r="C41" s="66"/>
      <c r="D41" s="67"/>
      <c r="E41" s="67"/>
      <c r="F41" s="67"/>
      <c r="G41" s="67"/>
      <c r="H41" s="67"/>
      <c r="I41" s="67"/>
      <c r="J41" s="68"/>
      <c r="K41" s="27"/>
      <c r="M41" s="66"/>
      <c r="N41" s="67"/>
      <c r="O41" s="67"/>
      <c r="P41" s="67"/>
      <c r="Q41" s="67"/>
      <c r="R41" s="67"/>
      <c r="S41" s="67"/>
      <c r="T41" s="68"/>
    </row>
    <row r="42" spans="2:30" ht="15.75" thickBot="1" x14ac:dyDescent="0.3">
      <c r="B42" s="23"/>
      <c r="C42" s="66"/>
      <c r="D42" s="67"/>
      <c r="E42" s="67"/>
      <c r="F42" s="67"/>
      <c r="G42" s="67"/>
      <c r="H42" s="67"/>
      <c r="I42" s="67"/>
      <c r="J42" s="68"/>
      <c r="K42" s="27"/>
      <c r="M42" s="66"/>
      <c r="N42" s="67"/>
      <c r="O42" s="67"/>
      <c r="P42" s="67"/>
      <c r="Q42" s="67"/>
      <c r="R42" s="67"/>
      <c r="S42" s="67"/>
      <c r="T42" s="68"/>
      <c r="V42" s="20"/>
      <c r="W42" s="21"/>
      <c r="X42" s="21"/>
      <c r="Y42" s="21"/>
      <c r="Z42" s="21"/>
      <c r="AA42" s="21"/>
      <c r="AB42" s="21"/>
      <c r="AC42" s="21"/>
      <c r="AD42" s="22"/>
    </row>
    <row r="43" spans="2:30" ht="15.75" thickBot="1" x14ac:dyDescent="0.3">
      <c r="B43" s="23"/>
      <c r="C43" s="66"/>
      <c r="D43" s="67"/>
      <c r="E43" s="67"/>
      <c r="F43" s="67"/>
      <c r="G43" s="67"/>
      <c r="H43" s="67"/>
      <c r="I43" s="67"/>
      <c r="J43" s="68"/>
      <c r="K43" s="27"/>
      <c r="M43" s="66"/>
      <c r="N43" s="67"/>
      <c r="O43" s="67"/>
      <c r="P43" s="67"/>
      <c r="Q43" s="67"/>
      <c r="R43" s="67"/>
      <c r="S43" s="67"/>
      <c r="T43" s="68"/>
      <c r="V43" s="23"/>
      <c r="W43" s="88" t="s">
        <v>108</v>
      </c>
      <c r="X43" s="89"/>
      <c r="Y43" s="42" t="str">
        <f>IF(J3="","",VLOOKUP(J3,_xlnm.Database,40))</f>
        <v>-</v>
      </c>
      <c r="Z43" s="25" t="s">
        <v>109</v>
      </c>
      <c r="AA43" s="42" t="str">
        <f>IF(J3="","",VLOOKUP(J3,_xlnm.Database,41))</f>
        <v>-</v>
      </c>
      <c r="AB43" s="25" t="s">
        <v>110</v>
      </c>
      <c r="AC43" s="43" t="e">
        <f>IF(Y43+AA43="","",Y43+AA43)</f>
        <v>#VALUE!</v>
      </c>
      <c r="AD43" s="27"/>
    </row>
    <row r="44" spans="2:30" ht="15.75" thickBot="1" x14ac:dyDescent="0.3">
      <c r="B44" s="23"/>
      <c r="C44" s="66"/>
      <c r="D44" s="67"/>
      <c r="E44" s="67"/>
      <c r="F44" s="67"/>
      <c r="G44" s="67"/>
      <c r="H44" s="67"/>
      <c r="I44" s="67"/>
      <c r="J44" s="68"/>
      <c r="K44" s="27"/>
      <c r="M44" s="66"/>
      <c r="N44" s="67"/>
      <c r="O44" s="67"/>
      <c r="P44" s="67"/>
      <c r="Q44" s="67"/>
      <c r="R44" s="67"/>
      <c r="S44" s="67"/>
      <c r="T44" s="68"/>
      <c r="V44" s="23"/>
      <c r="W44" s="24"/>
      <c r="X44" s="24"/>
      <c r="Y44" s="24"/>
      <c r="Z44" s="24"/>
      <c r="AA44" s="24"/>
      <c r="AB44" s="24"/>
      <c r="AC44" s="24"/>
      <c r="AD44" s="27"/>
    </row>
    <row r="45" spans="2:30" ht="15.75" thickBot="1" x14ac:dyDescent="0.3">
      <c r="B45" s="23"/>
      <c r="C45" s="69"/>
      <c r="D45" s="70"/>
      <c r="E45" s="70"/>
      <c r="F45" s="70"/>
      <c r="G45" s="70"/>
      <c r="H45" s="70"/>
      <c r="I45" s="70"/>
      <c r="J45" s="71"/>
      <c r="K45" s="27"/>
      <c r="M45" s="66"/>
      <c r="N45" s="67"/>
      <c r="O45" s="67"/>
      <c r="P45" s="67"/>
      <c r="Q45" s="67"/>
      <c r="R45" s="67"/>
      <c r="S45" s="67"/>
      <c r="T45" s="68"/>
      <c r="V45" s="23"/>
      <c r="W45" s="24" t="s">
        <v>111</v>
      </c>
      <c r="X45" s="43" t="str">
        <f>IF(J3="","",VLOOKUP(J3,_xlnm.Database,43))</f>
        <v>-</v>
      </c>
      <c r="Y45" s="25" t="s">
        <v>112</v>
      </c>
      <c r="Z45" s="43" t="str">
        <f>IF(J3="","",VLOOKUP(J3,_xlnm.Database,44))</f>
        <v>-</v>
      </c>
      <c r="AA45" s="25" t="s">
        <v>113</v>
      </c>
      <c r="AB45" s="44" t="str">
        <f>IF(J3="","",VLOOKUP(J3,_xlnm.Database,45))</f>
        <v>-</v>
      </c>
      <c r="AC45" s="24"/>
      <c r="AD45" s="27"/>
    </row>
    <row r="46" spans="2:30" ht="15.75" thickBot="1" x14ac:dyDescent="0.3">
      <c r="B46" s="32"/>
      <c r="C46" s="33"/>
      <c r="D46" s="33"/>
      <c r="E46" s="33"/>
      <c r="F46" s="33"/>
      <c r="G46" s="33"/>
      <c r="H46" s="33"/>
      <c r="I46" s="33"/>
      <c r="J46" s="33"/>
      <c r="K46" s="36"/>
      <c r="M46" s="69"/>
      <c r="N46" s="70"/>
      <c r="O46" s="70"/>
      <c r="P46" s="70"/>
      <c r="Q46" s="70"/>
      <c r="R46" s="70"/>
      <c r="S46" s="70"/>
      <c r="T46" s="71"/>
      <c r="V46" s="32"/>
      <c r="W46" s="33"/>
      <c r="X46" s="33"/>
      <c r="Y46" s="33"/>
      <c r="Z46" s="33"/>
      <c r="AA46" s="33"/>
      <c r="AB46" s="33"/>
      <c r="AC46" s="33"/>
      <c r="AD46" s="36"/>
    </row>
  </sheetData>
  <mergeCells count="27">
    <mergeCell ref="I30:J30"/>
    <mergeCell ref="C32:D32"/>
    <mergeCell ref="G32:H32"/>
    <mergeCell ref="W43:X43"/>
    <mergeCell ref="D34:H34"/>
    <mergeCell ref="N35:O35"/>
    <mergeCell ref="D36:H36"/>
    <mergeCell ref="M37:T46"/>
    <mergeCell ref="D38:J38"/>
    <mergeCell ref="C40:D40"/>
    <mergeCell ref="C41:J45"/>
    <mergeCell ref="C3:D3"/>
    <mergeCell ref="N3:O3"/>
    <mergeCell ref="W3:X3"/>
    <mergeCell ref="V5:AD38"/>
    <mergeCell ref="D6:H6"/>
    <mergeCell ref="N6:O6"/>
    <mergeCell ref="D8:F8"/>
    <mergeCell ref="H8:J8"/>
    <mergeCell ref="D10:E10"/>
    <mergeCell ref="I10:J10"/>
    <mergeCell ref="B13:F23"/>
    <mergeCell ref="G13:K23"/>
    <mergeCell ref="C25:D25"/>
    <mergeCell ref="N26:S32"/>
    <mergeCell ref="D28:H28"/>
    <mergeCell ref="F30:G30"/>
  </mergeCells>
  <dataValidations count="1">
    <dataValidation type="list" allowBlank="1" showInputMessage="1" showErrorMessage="1" sqref="J3" xr:uid="{00000000-0002-0000-0100-000000000000}">
      <formula1>REFEXPEDIENTE</formula1>
    </dataValidation>
  </dataValidations>
  <pageMargins left="0.25" right="0.25" top="0.75" bottom="0.75" header="0.3" footer="0.3"/>
  <pageSetup paperSize="9" orientation="portrait" verticalDpi="300" r:id="rId1"/>
  <ignoredErrors>
    <ignoredError sqref="B13" evalError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31"/>
  <sheetViews>
    <sheetView workbookViewId="0">
      <pane ySplit="1" topLeftCell="A2" activePane="bottomLeft" state="frozen"/>
      <selection pane="bottomLeft" activeCell="B2" sqref="B2"/>
    </sheetView>
  </sheetViews>
  <sheetFormatPr baseColWidth="10" defaultRowHeight="15" x14ac:dyDescent="0.25"/>
  <cols>
    <col min="1" max="1" width="11.42578125" style="52"/>
    <col min="2" max="2" width="56.5703125" style="52" customWidth="1"/>
  </cols>
  <sheetData>
    <row r="1" spans="1:2" x14ac:dyDescent="0.25">
      <c r="A1" s="53" t="s">
        <v>117</v>
      </c>
      <c r="B1" s="53" t="s">
        <v>118</v>
      </c>
    </row>
    <row r="2" spans="1:2" ht="234.75" customHeight="1" x14ac:dyDescent="0.25">
      <c r="A2" s="52">
        <v>1</v>
      </c>
      <c r="B2" s="52">
        <v>1</v>
      </c>
    </row>
    <row r="3" spans="1:2" ht="234.75" customHeight="1" x14ac:dyDescent="0.25">
      <c r="A3" s="52">
        <f>+A2+1</f>
        <v>2</v>
      </c>
      <c r="B3" s="52">
        <f>+B2+1</f>
        <v>2</v>
      </c>
    </row>
    <row r="4" spans="1:2" ht="234.75" customHeight="1" x14ac:dyDescent="0.25">
      <c r="A4" s="52">
        <f t="shared" ref="A4:A31" si="0">+A3+1</f>
        <v>3</v>
      </c>
      <c r="B4" s="52">
        <f t="shared" ref="B4:B31" si="1">+B3+1</f>
        <v>3</v>
      </c>
    </row>
    <row r="5" spans="1:2" ht="234.75" customHeight="1" x14ac:dyDescent="0.25">
      <c r="A5" s="52">
        <f t="shared" si="0"/>
        <v>4</v>
      </c>
      <c r="B5" s="52">
        <f t="shared" si="1"/>
        <v>4</v>
      </c>
    </row>
    <row r="6" spans="1:2" ht="234.75" customHeight="1" x14ac:dyDescent="0.25">
      <c r="A6" s="52">
        <f t="shared" si="0"/>
        <v>5</v>
      </c>
      <c r="B6" s="52">
        <f t="shared" si="1"/>
        <v>5</v>
      </c>
    </row>
    <row r="7" spans="1:2" ht="234.75" customHeight="1" x14ac:dyDescent="0.25">
      <c r="A7" s="52">
        <f t="shared" si="0"/>
        <v>6</v>
      </c>
      <c r="B7" s="52">
        <f t="shared" si="1"/>
        <v>6</v>
      </c>
    </row>
    <row r="8" spans="1:2" ht="234.75" customHeight="1" x14ac:dyDescent="0.25">
      <c r="A8" s="52">
        <f t="shared" si="0"/>
        <v>7</v>
      </c>
      <c r="B8" s="52">
        <f t="shared" si="1"/>
        <v>7</v>
      </c>
    </row>
    <row r="9" spans="1:2" ht="234.75" customHeight="1" x14ac:dyDescent="0.25">
      <c r="A9" s="52">
        <f t="shared" si="0"/>
        <v>8</v>
      </c>
      <c r="B9" s="52">
        <f t="shared" si="1"/>
        <v>8</v>
      </c>
    </row>
    <row r="10" spans="1:2" ht="234.75" customHeight="1" x14ac:dyDescent="0.25">
      <c r="A10" s="52">
        <f t="shared" si="0"/>
        <v>9</v>
      </c>
      <c r="B10" s="52">
        <f t="shared" si="1"/>
        <v>9</v>
      </c>
    </row>
    <row r="11" spans="1:2" ht="234.75" customHeight="1" x14ac:dyDescent="0.25">
      <c r="A11" s="52">
        <f t="shared" si="0"/>
        <v>10</v>
      </c>
      <c r="B11" s="52">
        <f t="shared" si="1"/>
        <v>10</v>
      </c>
    </row>
    <row r="12" spans="1:2" ht="234.75" customHeight="1" x14ac:dyDescent="0.25">
      <c r="A12" s="52">
        <f t="shared" si="0"/>
        <v>11</v>
      </c>
      <c r="B12" s="52">
        <f t="shared" si="1"/>
        <v>11</v>
      </c>
    </row>
    <row r="13" spans="1:2" ht="234.75" customHeight="1" x14ac:dyDescent="0.25">
      <c r="A13" s="52">
        <f t="shared" si="0"/>
        <v>12</v>
      </c>
      <c r="B13" s="52">
        <f t="shared" si="1"/>
        <v>12</v>
      </c>
    </row>
    <row r="14" spans="1:2" ht="234.75" customHeight="1" x14ac:dyDescent="0.25">
      <c r="A14" s="52">
        <f t="shared" si="0"/>
        <v>13</v>
      </c>
      <c r="B14" s="52">
        <f t="shared" si="1"/>
        <v>13</v>
      </c>
    </row>
    <row r="15" spans="1:2" ht="234.75" customHeight="1" x14ac:dyDescent="0.25">
      <c r="A15" s="52">
        <f t="shared" si="0"/>
        <v>14</v>
      </c>
      <c r="B15" s="52">
        <f t="shared" si="1"/>
        <v>14</v>
      </c>
    </row>
    <row r="16" spans="1:2" ht="234.75" customHeight="1" x14ac:dyDescent="0.25">
      <c r="A16" s="52">
        <f t="shared" si="0"/>
        <v>15</v>
      </c>
      <c r="B16" s="52">
        <f t="shared" si="1"/>
        <v>15</v>
      </c>
    </row>
    <row r="17" spans="1:2" ht="234.75" customHeight="1" x14ac:dyDescent="0.25">
      <c r="A17" s="52">
        <f t="shared" si="0"/>
        <v>16</v>
      </c>
      <c r="B17" s="52">
        <f t="shared" si="1"/>
        <v>16</v>
      </c>
    </row>
    <row r="18" spans="1:2" ht="234.75" customHeight="1" x14ac:dyDescent="0.25">
      <c r="A18" s="52">
        <f t="shared" si="0"/>
        <v>17</v>
      </c>
      <c r="B18" s="52">
        <f t="shared" si="1"/>
        <v>17</v>
      </c>
    </row>
    <row r="19" spans="1:2" ht="234.75" customHeight="1" x14ac:dyDescent="0.25">
      <c r="A19" s="52">
        <f t="shared" si="0"/>
        <v>18</v>
      </c>
      <c r="B19" s="52">
        <f t="shared" si="1"/>
        <v>18</v>
      </c>
    </row>
    <row r="20" spans="1:2" ht="234.75" customHeight="1" x14ac:dyDescent="0.25">
      <c r="A20" s="52">
        <f t="shared" si="0"/>
        <v>19</v>
      </c>
      <c r="B20" s="52">
        <f t="shared" si="1"/>
        <v>19</v>
      </c>
    </row>
    <row r="21" spans="1:2" ht="234.75" customHeight="1" x14ac:dyDescent="0.25">
      <c r="A21" s="52">
        <f t="shared" si="0"/>
        <v>20</v>
      </c>
      <c r="B21" s="52">
        <f t="shared" si="1"/>
        <v>20</v>
      </c>
    </row>
    <row r="22" spans="1:2" ht="234.75" customHeight="1" x14ac:dyDescent="0.25">
      <c r="A22" s="52">
        <f t="shared" si="0"/>
        <v>21</v>
      </c>
      <c r="B22" s="52">
        <f t="shared" si="1"/>
        <v>21</v>
      </c>
    </row>
    <row r="23" spans="1:2" ht="234.75" customHeight="1" x14ac:dyDescent="0.25">
      <c r="A23" s="52">
        <f t="shared" si="0"/>
        <v>22</v>
      </c>
      <c r="B23" s="52">
        <f t="shared" si="1"/>
        <v>22</v>
      </c>
    </row>
    <row r="24" spans="1:2" ht="234.75" customHeight="1" x14ac:dyDescent="0.25">
      <c r="A24" s="52">
        <f t="shared" si="0"/>
        <v>23</v>
      </c>
      <c r="B24" s="52">
        <f t="shared" si="1"/>
        <v>23</v>
      </c>
    </row>
    <row r="25" spans="1:2" ht="234.75" customHeight="1" x14ac:dyDescent="0.25">
      <c r="A25" s="52">
        <f t="shared" si="0"/>
        <v>24</v>
      </c>
      <c r="B25" s="52">
        <f t="shared" si="1"/>
        <v>24</v>
      </c>
    </row>
    <row r="26" spans="1:2" ht="234.75" customHeight="1" x14ac:dyDescent="0.25">
      <c r="A26" s="52">
        <f t="shared" si="0"/>
        <v>25</v>
      </c>
      <c r="B26" s="52">
        <f t="shared" si="1"/>
        <v>25</v>
      </c>
    </row>
    <row r="27" spans="1:2" ht="234.75" customHeight="1" x14ac:dyDescent="0.25">
      <c r="A27" s="52">
        <f t="shared" si="0"/>
        <v>26</v>
      </c>
      <c r="B27" s="52">
        <f t="shared" si="1"/>
        <v>26</v>
      </c>
    </row>
    <row r="28" spans="1:2" ht="234.75" customHeight="1" x14ac:dyDescent="0.25">
      <c r="A28" s="52">
        <f t="shared" si="0"/>
        <v>27</v>
      </c>
      <c r="B28" s="52">
        <f t="shared" si="1"/>
        <v>27</v>
      </c>
    </row>
    <row r="29" spans="1:2" ht="234.75" customHeight="1" x14ac:dyDescent="0.25">
      <c r="A29" s="52">
        <f t="shared" si="0"/>
        <v>28</v>
      </c>
      <c r="B29" s="52">
        <f t="shared" si="1"/>
        <v>28</v>
      </c>
    </row>
    <row r="30" spans="1:2" ht="234.75" customHeight="1" x14ac:dyDescent="0.25">
      <c r="A30" s="52">
        <f t="shared" si="0"/>
        <v>29</v>
      </c>
      <c r="B30" s="52">
        <f t="shared" si="1"/>
        <v>29</v>
      </c>
    </row>
    <row r="31" spans="1:2" ht="234.75" customHeight="1" x14ac:dyDescent="0.25">
      <c r="A31" s="52">
        <f t="shared" si="0"/>
        <v>30</v>
      </c>
      <c r="B31" s="52">
        <f t="shared" si="1"/>
        <v>30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MASTER</vt:lpstr>
      <vt:lpstr>EXPEDIENTE</vt:lpstr>
      <vt:lpstr>IMAGENES</vt:lpstr>
      <vt:lpstr>BaseDeDatos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</dc:creator>
  <cp:lastModifiedBy>Angel Gil</cp:lastModifiedBy>
  <cp:lastPrinted>2018-02-11T08:02:08Z</cp:lastPrinted>
  <dcterms:created xsi:type="dcterms:W3CDTF">2017-11-14T14:43:06Z</dcterms:created>
  <dcterms:modified xsi:type="dcterms:W3CDTF">2018-02-13T18:32:56Z</dcterms:modified>
</cp:coreProperties>
</file>